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72" windowWidth="15480" windowHeight="11640" activeTab="0"/>
  </bookViews>
  <sheets>
    <sheet name="Front" sheetId="1" r:id="rId1"/>
    <sheet name="input" sheetId="2" r:id="rId2"/>
    <sheet name="car1" sheetId="3" r:id="rId3"/>
    <sheet name="workings" sheetId="4" state="hidden" r:id="rId4"/>
    <sheet name="noncar" sheetId="5" r:id="rId5"/>
  </sheets>
  <definedNames>
    <definedName name="AIAlimit">'workings'!$R$6</definedName>
    <definedName name="bacar1">'workings'!$I$31</definedName>
    <definedName name="bacar2">'workings'!$J$31</definedName>
    <definedName name="banoncar1">'workings'!$E$31</definedName>
    <definedName name="banoncar2">'workings'!$F$31</definedName>
    <definedName name="banoncar3">'workings'!$G$31</definedName>
    <definedName name="barcar3">'workings'!$K$31</definedName>
    <definedName name="car">'input'!$O$4</definedName>
    <definedName name="carate">'input'!$D$17</definedName>
    <definedName name="clientname">'Front'!$D$9</definedName>
    <definedName name="co2over160">'input'!$O$22</definedName>
    <definedName name="co2rate">'workings'!$N$1</definedName>
    <definedName name="contcosts">'input'!$D$28</definedName>
    <definedName name="conthire">'input'!$O$26</definedName>
    <definedName name="cost">'input'!$D$5</definedName>
    <definedName name="fya100">'input'!$O$17</definedName>
    <definedName name="High_WDA_Rates">'workings'!$N$6</definedName>
    <definedName name="hpcosts">'input'!$D$27</definedName>
    <definedName name="hpint">'input'!$D$11</definedName>
    <definedName name="hpintyr1">'workings'!$F$37</definedName>
    <definedName name="hpintyr2">'workings'!$F$38</definedName>
    <definedName name="hpintyr3">'workings'!$F$39</definedName>
    <definedName name="hpintyr4">'workings'!$F$40</definedName>
    <definedName name="hpintyr5">'workings'!$F$41</definedName>
    <definedName name="itrate">'input'!$D$15</definedName>
    <definedName name="leaseexprest1">'workings'!$S$37</definedName>
    <definedName name="leaseexprest2">'workings'!$S$39</definedName>
    <definedName name="leaseexprest3">'workings'!$S$39</definedName>
    <definedName name="leaseexprest4">'workings'!$S$40</definedName>
    <definedName name="leaseexprest5">'workings'!$S$41</definedName>
    <definedName name="leasepayt">'input'!$D$19</definedName>
    <definedName name="life">'input'!$D$9</definedName>
    <definedName name="Low_WDA_Rate">'workings'!$N$5</definedName>
    <definedName name="Maintcosts">'input'!$G$24</definedName>
    <definedName name="maintcosts2">'workings'!$P$33</definedName>
    <definedName name="maintyr1">'workings'!$P$37</definedName>
    <definedName name="maintyr2">'workings'!$P$38</definedName>
    <definedName name="maintyr3">'workings'!$P$39</definedName>
    <definedName name="maintyr4">'workings'!$P$40</definedName>
    <definedName name="maintyr5">'workings'!$P$41</definedName>
    <definedName name="noileasepayts">'input'!$D$24</definedName>
    <definedName name="noyr1">'input'!$D$21</definedName>
    <definedName name="noyr4">'workings'!$E$40</definedName>
    <definedName name="noyr5">'workings'!$E$41</definedName>
    <definedName name="_xlnm.Print_Area" localSheetId="2">'car1'!$D$5:$Q$58</definedName>
    <definedName name="_xlnm.Print_Area" localSheetId="1">'input'!$B$3:$I$47</definedName>
    <definedName name="_xlnm.Print_Area" localSheetId="4">'noncar'!$D$5:$Q$50</definedName>
    <definedName name="pucar">'input'!$G$7</definedName>
    <definedName name="rebate">'input'!$D$26</definedName>
    <definedName name="residual">'input'!$D$7</definedName>
    <definedName name="Vat_on_lease">'input'!$G$19</definedName>
    <definedName name="VATRate">'input'!$D$13</definedName>
    <definedName name="vatreg">'input'!$O$19</definedName>
    <definedName name="yr1cascar">'workings'!$I$9</definedName>
    <definedName name="yr1casnoncar">'workings'!$E$9</definedName>
    <definedName name="yr2cascar">'workings'!$I$13</definedName>
    <definedName name="yr2casnoncar">'workings'!$E$13</definedName>
    <definedName name="yr3cascar">'workings'!$J$17</definedName>
    <definedName name="yr3casnoncar">'workings'!$F$17</definedName>
    <definedName name="yr4cascar">'workings'!$K$21</definedName>
    <definedName name="yr4casnoncar">'workings'!$G$21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kevin</author>
    <author>Kevin Salter</author>
    <author>Kevin</author>
    <author>kevins</author>
  </authors>
  <commentList>
    <comment ref="C21" authorId="0">
      <text>
        <r>
          <rPr>
            <sz val="8"/>
            <rFont val="Tahoma"/>
            <family val="2"/>
          </rPr>
          <t xml:space="preserve">Default is 12 - ie simple example, If a lease is started in month 12 only one months lease rental 
will be allowable
</t>
        </r>
      </text>
    </comment>
    <comment ref="C19" authorId="0">
      <text>
        <r>
          <rPr>
            <sz val="8"/>
            <rFont val="Tahoma"/>
            <family val="2"/>
          </rPr>
          <t xml:space="preserve">If vat is reclaimable enter </t>
        </r>
        <r>
          <rPr>
            <b/>
            <sz val="8"/>
            <rFont val="Tahoma"/>
            <family val="2"/>
          </rPr>
          <t>VAT exclusive amount</t>
        </r>
        <r>
          <rPr>
            <sz val="8"/>
            <rFont val="Tahoma"/>
            <family val="2"/>
          </rPr>
          <t xml:space="preserve"> - 50% will be disallowed automatically. If not VAT registered </t>
        </r>
        <r>
          <rPr>
            <b/>
            <sz val="8"/>
            <rFont val="Tahoma"/>
            <family val="2"/>
          </rPr>
          <t>include</t>
        </r>
        <r>
          <rPr>
            <sz val="8"/>
            <rFont val="Tahoma"/>
            <family val="2"/>
          </rPr>
          <t xml:space="preserve"> VAT in the monthly payment.</t>
        </r>
      </text>
    </comment>
    <comment ref="C9" authorId="0">
      <text>
        <r>
          <rPr>
            <sz val="8"/>
            <rFont val="Tahoma"/>
            <family val="2"/>
          </rPr>
          <t xml:space="preserve">This model is built for either a 3 or 4 year lease only in this version
</t>
        </r>
      </text>
    </comment>
    <comment ref="C26" authorId="0">
      <text>
        <r>
          <rPr>
            <sz val="8"/>
            <rFont val="Tahoma"/>
            <family val="2"/>
          </rPr>
          <t>The rebated amount will be the entered % multiplied by the Est Proceeds on Disposal</t>
        </r>
      </text>
    </comment>
    <comment ref="F24" authorId="1">
      <text>
        <r>
          <rPr>
            <sz val="8"/>
            <rFont val="Tahoma"/>
            <family val="2"/>
          </rPr>
          <t xml:space="preserve">If contract hire includes maintenance costs etc that would be incurred if the asset were purchased enter the "annual" costs in here.(p.a.) 
</t>
        </r>
      </text>
    </comment>
    <comment ref="F18" authorId="1">
      <text>
        <r>
          <rPr>
            <b/>
            <sz val="8"/>
            <rFont val="Tahoma"/>
            <family val="2"/>
          </rPr>
          <t>The effect of ticking this box is to interact with the private use adjustment above. If there is private use and this is contract hire 50% of the VAT will be disallowed.</t>
        </r>
        <r>
          <rPr>
            <sz val="8"/>
            <rFont val="Tahoma"/>
            <family val="2"/>
          </rPr>
          <t xml:space="preserve">
</t>
        </r>
      </text>
    </comment>
    <comment ref="C24" authorId="1">
      <text>
        <r>
          <rPr>
            <sz val="8"/>
            <rFont val="Tahoma"/>
            <family val="2"/>
          </rPr>
          <t xml:space="preserve">defaults to useful life * 12 - but you can override it - e.g. enter 38 if there are 3 months up front and 35 monthly payments - NOTE it will not function correctly if you enter 1 payment in first year and choose 48 months - as this pushes 1 payment into year 6 which is not catered for in this model
</t>
        </r>
      </text>
    </comment>
    <comment ref="F17" authorId="1">
      <text>
        <r>
          <rPr>
            <b/>
            <sz val="8"/>
            <rFont val="Tahoma"/>
            <family val="2"/>
          </rPr>
          <t xml:space="preserve">Some cars are entitled to 100% FYA.
</t>
        </r>
      </text>
    </comment>
    <comment ref="C17" authorId="2">
      <text>
        <r>
          <rPr>
            <b/>
            <sz val="8"/>
            <rFont val="Tahoma"/>
            <family val="2"/>
          </rPr>
          <t xml:space="preserve">It is assumed that the 50K AIA is claimed on this asset. So 100% on first 50k and 20%/10% on balance
</t>
        </r>
        <r>
          <rPr>
            <sz val="8"/>
            <rFont val="Tahoma"/>
            <family val="2"/>
          </rPr>
          <t xml:space="preserve">
</t>
        </r>
      </text>
    </comment>
    <comment ref="F21" authorId="3">
      <text>
        <r>
          <rPr>
            <sz val="9"/>
            <rFont val="Tahoma"/>
            <family val="2"/>
          </rPr>
          <t xml:space="preserve">This will determine which car pool capital allowances rate will apply.
</t>
        </r>
      </text>
    </comment>
  </commentList>
</comments>
</file>

<file path=xl/sharedStrings.xml><?xml version="1.0" encoding="utf-8"?>
<sst xmlns="http://schemas.openxmlformats.org/spreadsheetml/2006/main" count="227" uniqueCount="112">
  <si>
    <t xml:space="preserve">Asset </t>
  </si>
  <si>
    <t>Cost</t>
  </si>
  <si>
    <t>Total HP interest payable</t>
  </si>
  <si>
    <t xml:space="preserve"> </t>
  </si>
  <si>
    <t>in first "year"</t>
  </si>
  <si>
    <t>First year capital allowances tax rate</t>
  </si>
  <si>
    <t>Year 1</t>
  </si>
  <si>
    <t xml:space="preserve">Purchase </t>
  </si>
  <si>
    <t>Workings</t>
  </si>
  <si>
    <t>Non Car</t>
  </si>
  <si>
    <t>Car</t>
  </si>
  <si>
    <t>Car details only</t>
  </si>
  <si>
    <t>FYA/WDA</t>
  </si>
  <si>
    <t>Year 2</t>
  </si>
  <si>
    <t>WDA</t>
  </si>
  <si>
    <t>Year 3</t>
  </si>
  <si>
    <t>Useful Life (3 or 4 years)</t>
  </si>
  <si>
    <t>Non</t>
  </si>
  <si>
    <t>Disposal</t>
  </si>
  <si>
    <t>Bal Adj</t>
  </si>
  <si>
    <t>3 years</t>
  </si>
  <si>
    <t>4 years</t>
  </si>
  <si>
    <t>Year 4</t>
  </si>
  <si>
    <t>4 years over 5</t>
  </si>
  <si>
    <t>DisposaL</t>
  </si>
  <si>
    <t>Year 5</t>
  </si>
  <si>
    <t>car 4 years</t>
  </si>
  <si>
    <t>over 5</t>
  </si>
  <si>
    <t>Year1</t>
  </si>
  <si>
    <t>Cap Allowances</t>
  </si>
  <si>
    <t>Allowable against tax</t>
  </si>
  <si>
    <t>Tax rate</t>
  </si>
  <si>
    <t>HP</t>
  </si>
  <si>
    <t>Leases</t>
  </si>
  <si>
    <t>disallowable VAT</t>
  </si>
  <si>
    <t>Expensive car restriction</t>
  </si>
  <si>
    <t>Tax relief / (due)</t>
  </si>
  <si>
    <t>Buy</t>
  </si>
  <si>
    <t>Lease</t>
  </si>
  <si>
    <t>Lease payments</t>
  </si>
  <si>
    <t>Total allowable</t>
  </si>
  <si>
    <t>A</t>
  </si>
  <si>
    <t>B</t>
  </si>
  <si>
    <t>A-B</t>
  </si>
  <si>
    <t>Difference</t>
  </si>
  <si>
    <t>Total</t>
  </si>
  <si>
    <t>Less Private use</t>
  </si>
  <si>
    <t>Applicable tax rate</t>
  </si>
  <si>
    <t>Est Proceeds on disposal</t>
  </si>
  <si>
    <t>Assumptions in this model</t>
  </si>
  <si>
    <t>The HP interest is spread evenly over the years</t>
  </si>
  <si>
    <t>Lease payments are treated as paid monthly even if there is 3 months in advance payment or end balloon payt</t>
  </si>
  <si>
    <t>The model only permits a 3 or 4 year lease at this time. Other options may be implemented if sufficient requests</t>
  </si>
  <si>
    <t>Number of lease payments is automatically calculated based on the "useful life"</t>
  </si>
  <si>
    <t xml:space="preserve">  as this is how tax relief will be given</t>
  </si>
  <si>
    <t>It is assumed that lease premiums are charged rather than capitalised and depreciation and "interest" claimed</t>
  </si>
  <si>
    <t>Tick if Contract Hire</t>
  </si>
  <si>
    <t>Number of payments</t>
  </si>
  <si>
    <t>Cash Position</t>
  </si>
  <si>
    <t>HP Interest</t>
  </si>
  <si>
    <t>Sale proceeds</t>
  </si>
  <si>
    <t>Tax Relief</t>
  </si>
  <si>
    <t>Net Outflow</t>
  </si>
  <si>
    <t xml:space="preserve">Rebate at end of term (%) </t>
  </si>
  <si>
    <t>Payments</t>
  </si>
  <si>
    <t>Vat not claimable</t>
  </si>
  <si>
    <t>On the basis of the figures above it is beneficial from a cashflow view to</t>
  </si>
  <si>
    <t>Maintenance</t>
  </si>
  <si>
    <t>p.a.</t>
  </si>
  <si>
    <t>Tick if a car/van</t>
  </si>
  <si>
    <t>Tick if Vat registered</t>
  </si>
  <si>
    <t>Expensive Car Restriction (Contract Hire)</t>
  </si>
  <si>
    <t>Contract Hire</t>
  </si>
  <si>
    <t>Other costs</t>
  </si>
  <si>
    <t>Other HP Costs - Option Fee etc</t>
  </si>
  <si>
    <t>Other Contract Hire costs</t>
  </si>
  <si>
    <t>HP Interest/costs</t>
  </si>
  <si>
    <t>HP costs</t>
  </si>
  <si>
    <t>No "discounted cash flow" calculations or bank financing costs are taken into account</t>
  </si>
  <si>
    <t>Client Name:</t>
  </si>
  <si>
    <t>A B Smith</t>
  </si>
  <si>
    <t xml:space="preserve">Lease Buy or Contract Hire? </t>
  </si>
  <si>
    <t xml:space="preserve">LEASE BUY OR CONTRACT HIRE? </t>
  </si>
  <si>
    <t>CARS ONLY BELOW</t>
  </si>
  <si>
    <t>For Cars if there is private use a balancing adjustment will be calculated at the end of the period on disposal</t>
  </si>
  <si>
    <t>If there is no private use the "pool" value is carried forward and no balancing adjustment arises</t>
  </si>
  <si>
    <t>VAT Rate</t>
  </si>
  <si>
    <t>If contract hire is chosen for a car, an expensive car restriction is calculated, based on the C02 emissions as per leased assets. This treatment has yet to be fully confimed.The restriction is applied to hire less maintenance costs.</t>
  </si>
  <si>
    <t>Yr1</t>
  </si>
  <si>
    <t>Yr2</t>
  </si>
  <si>
    <t>Yr3</t>
  </si>
  <si>
    <t>yr4</t>
  </si>
  <si>
    <t>Yr5</t>
  </si>
  <si>
    <t xml:space="preserve">Lease, contract hire or HP- which is the best way to finance an asset? </t>
  </si>
  <si>
    <t>Total Capital allowances</t>
  </si>
  <si>
    <t>Capital allowances</t>
  </si>
  <si>
    <t>WDA Rates</t>
  </si>
  <si>
    <t>Variables</t>
  </si>
  <si>
    <t>AIAlimit</t>
  </si>
  <si>
    <t>expensivecarrestriction</t>
  </si>
  <si>
    <t>Costleaserestriction</t>
  </si>
  <si>
    <t>&lt;75 g/km</t>
  </si>
  <si>
    <t>2017/18</t>
  </si>
  <si>
    <t>2018/19</t>
  </si>
  <si>
    <t>&lt;50g/km</t>
  </si>
  <si>
    <t>Over 110 g/km</t>
  </si>
  <si>
    <t>51 - 110 g/km</t>
  </si>
  <si>
    <t xml:space="preserve">76 - 130 g/km </t>
  </si>
  <si>
    <t>Over 130 g/km</t>
  </si>
  <si>
    <t>C02 emissions &gt; 110g/km</t>
  </si>
  <si>
    <t>© BBS Computing Limited and 2020 Innovation Group Limited, 2006-2018</t>
  </si>
  <si>
    <t>Version 13.00    02/03/2018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</si>
</sst>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\ \ \ @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0"/>
      <color indexed="9"/>
      <name val="Verdana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0" fontId="0" fillId="24" borderId="0" xfId="0" applyNumberFormat="1" applyFill="1" applyAlignment="1" applyProtection="1">
      <alignment/>
      <protection locked="0"/>
    </xf>
    <xf numFmtId="1" fontId="0" fillId="24" borderId="0" xfId="0" applyNumberFormat="1" applyFill="1" applyAlignment="1" applyProtection="1">
      <alignment/>
      <protection locked="0"/>
    </xf>
    <xf numFmtId="0" fontId="0" fillId="24" borderId="0" xfId="0" applyNumberFormat="1" applyFill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2" xfId="0" applyNumberFormat="1" applyBorder="1" applyAlignment="1" applyProtection="1">
      <alignment/>
      <protection locked="0"/>
    </xf>
    <xf numFmtId="1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0" fillId="0" borderId="15" xfId="0" applyBorder="1" applyAlignment="1">
      <alignment/>
    </xf>
    <xf numFmtId="1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" fontId="0" fillId="0" borderId="15" xfId="0" applyNumberFormat="1" applyBorder="1" applyAlignment="1">
      <alignment/>
    </xf>
    <xf numFmtId="0" fontId="4" fillId="0" borderId="0" xfId="53" applyFont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 locked="0"/>
    </xf>
    <xf numFmtId="2" fontId="1" fillId="4" borderId="0" xfId="0" applyNumberFormat="1" applyFont="1" applyFill="1" applyAlignment="1">
      <alignment/>
    </xf>
    <xf numFmtId="10" fontId="0" fillId="24" borderId="16" xfId="0" applyNumberFormat="1" applyFill="1" applyBorder="1" applyAlignment="1" applyProtection="1">
      <alignment/>
      <protection locked="0"/>
    </xf>
    <xf numFmtId="2" fontId="0" fillId="24" borderId="16" xfId="0" applyNumberFormat="1" applyFill="1" applyBorder="1" applyAlignment="1" applyProtection="1">
      <alignment/>
      <protection locked="0"/>
    </xf>
    <xf numFmtId="1" fontId="0" fillId="22" borderId="0" xfId="0" applyNumberFormat="1" applyFill="1" applyAlignment="1" applyProtection="1">
      <alignment/>
      <protection locked="0"/>
    </xf>
    <xf numFmtId="4" fontId="0" fillId="24" borderId="0" xfId="0" applyNumberFormat="1" applyFill="1" applyAlignment="1" applyProtection="1">
      <alignment/>
      <protection locked="0"/>
    </xf>
    <xf numFmtId="4" fontId="0" fillId="24" borderId="12" xfId="0" applyNumberFormat="1" applyFill="1" applyBorder="1" applyAlignment="1" applyProtection="1">
      <alignment/>
      <protection locked="0"/>
    </xf>
    <xf numFmtId="0" fontId="24" fillId="25" borderId="0" xfId="58" applyFont="1" applyFill="1">
      <alignment/>
      <protection/>
    </xf>
    <xf numFmtId="0" fontId="0" fillId="0" borderId="0" xfId="58">
      <alignment/>
      <protection/>
    </xf>
    <xf numFmtId="0" fontId="25" fillId="25" borderId="0" xfId="58" applyFont="1" applyFill="1" applyBorder="1">
      <alignment/>
      <protection/>
    </xf>
    <xf numFmtId="0" fontId="25" fillId="25" borderId="0" xfId="58" applyFont="1" applyFill="1" applyBorder="1" applyAlignment="1">
      <alignment horizontal="right"/>
      <protection/>
    </xf>
    <xf numFmtId="0" fontId="24" fillId="25" borderId="17" xfId="58" applyFont="1" applyFill="1" applyBorder="1">
      <alignment/>
      <protection/>
    </xf>
    <xf numFmtId="0" fontId="26" fillId="25" borderId="0" xfId="58" applyFont="1" applyFill="1" applyBorder="1" applyAlignment="1">
      <alignment horizontal="left"/>
      <protection/>
    </xf>
    <xf numFmtId="0" fontId="24" fillId="25" borderId="0" xfId="58" applyFont="1" applyFill="1" applyAlignment="1">
      <alignment horizontal="left" vertical="center"/>
      <protection/>
    </xf>
    <xf numFmtId="0" fontId="24" fillId="25" borderId="0" xfId="58" applyFont="1" applyFill="1" applyAlignment="1">
      <alignment vertical="center"/>
      <protection/>
    </xf>
    <xf numFmtId="165" fontId="4" fillId="0" borderId="0" xfId="54" applyNumberFormat="1" applyAlignment="1" applyProtection="1">
      <alignment/>
      <protection/>
    </xf>
    <xf numFmtId="0" fontId="24" fillId="25" borderId="0" xfId="58" applyFont="1" applyFill="1" applyBorder="1">
      <alignment/>
      <protection/>
    </xf>
    <xf numFmtId="0" fontId="24" fillId="25" borderId="0" xfId="58" applyFont="1" applyFill="1" applyBorder="1" applyAlignment="1">
      <alignment horizontal="right"/>
      <protection/>
    </xf>
    <xf numFmtId="0" fontId="28" fillId="0" borderId="0" xfId="0" applyFont="1" applyAlignment="1">
      <alignment/>
    </xf>
    <xf numFmtId="10" fontId="0" fillId="26" borderId="0" xfId="0" applyNumberFormat="1" applyFill="1" applyAlignment="1" applyProtection="1">
      <alignment/>
      <protection locked="0"/>
    </xf>
    <xf numFmtId="0" fontId="29" fillId="0" borderId="11" xfId="0" applyFont="1" applyBorder="1" applyAlignment="1">
      <alignment/>
    </xf>
    <xf numFmtId="0" fontId="29" fillId="0" borderId="18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4" fillId="25" borderId="0" xfId="58" applyFont="1" applyFill="1" applyAlignment="1">
      <alignment horizontal="justify" vertical="top" wrapText="1"/>
      <protection/>
    </xf>
    <xf numFmtId="0" fontId="27" fillId="27" borderId="0" xfId="58" applyFont="1" applyFill="1" applyAlignment="1" applyProtection="1">
      <alignment vertical="center"/>
      <protection locked="0"/>
    </xf>
    <xf numFmtId="0" fontId="25" fillId="25" borderId="0" xfId="58" applyFont="1" applyFill="1" applyAlignment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0" fillId="0" borderId="0" xfId="0" applyAlignment="1">
      <alignment wrapText="1"/>
    </xf>
    <xf numFmtId="2" fontId="30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Pay - Net to Gross Calculator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border>
        <top style="thin"/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border>
        <top style="thin"/>
      </border>
    </dxf>
    <dxf>
      <border>
        <top style="thin"/>
      </border>
    </dxf>
    <dxf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22"/>
  <sheetViews>
    <sheetView showGridLines="0" showRowColHeaders="0" showZeros="0" tabSelected="1" showOutlineSymbols="0" zoomScalePageLayoutView="0" workbookViewId="0" topLeftCell="A1">
      <selection activeCell="A1" sqref="A1"/>
    </sheetView>
  </sheetViews>
  <sheetFormatPr defaultColWidth="9.140625" defaultRowHeight="12.75"/>
  <cols>
    <col min="1" max="8" width="9.140625" style="32" customWidth="1"/>
    <col min="9" max="9" width="10.140625" style="32" bestFit="1" customWidth="1"/>
    <col min="10" max="16384" width="9.140625" style="32" customWidth="1"/>
  </cols>
  <sheetData>
    <row r="1" spans="1:9" ht="12.75">
      <c r="A1" s="31"/>
      <c r="B1" s="31"/>
      <c r="C1" s="31"/>
      <c r="D1" s="31"/>
      <c r="E1" s="31"/>
      <c r="F1" s="31"/>
      <c r="G1" s="31"/>
      <c r="H1" s="31"/>
      <c r="I1" s="31"/>
    </row>
    <row r="2" spans="1:9" ht="12.75">
      <c r="A2" s="33" t="s">
        <v>111</v>
      </c>
      <c r="B2" s="33"/>
      <c r="C2" s="33"/>
      <c r="D2" s="33"/>
      <c r="E2" s="33"/>
      <c r="F2" s="33"/>
      <c r="G2" s="33"/>
      <c r="I2" s="34" t="s">
        <v>81</v>
      </c>
    </row>
    <row r="3" spans="1:9" ht="12.75">
      <c r="A3" s="35"/>
      <c r="B3" s="35"/>
      <c r="C3" s="35"/>
      <c r="D3" s="35"/>
      <c r="E3" s="35"/>
      <c r="F3" s="35"/>
      <c r="G3" s="35"/>
      <c r="H3" s="35"/>
      <c r="I3" s="35"/>
    </row>
    <row r="4" spans="1:9" ht="12.75">
      <c r="A4" s="31"/>
      <c r="B4" s="31"/>
      <c r="C4" s="31"/>
      <c r="D4" s="31"/>
      <c r="E4" s="31"/>
      <c r="F4" s="31"/>
      <c r="G4" s="31"/>
      <c r="H4" s="31"/>
      <c r="I4" s="31"/>
    </row>
    <row r="5" spans="1:9" ht="15.75">
      <c r="A5" s="36" t="s">
        <v>82</v>
      </c>
      <c r="B5" s="31"/>
      <c r="C5" s="31"/>
      <c r="D5" s="31"/>
      <c r="E5" s="31"/>
      <c r="F5" s="31"/>
      <c r="G5" s="31"/>
      <c r="H5" s="31"/>
      <c r="I5" s="31"/>
    </row>
    <row r="6" spans="1:9" ht="12.75">
      <c r="A6" s="31"/>
      <c r="B6" s="31"/>
      <c r="C6" s="31"/>
      <c r="D6" s="31"/>
      <c r="E6" s="31"/>
      <c r="F6" s="31"/>
      <c r="G6" s="31"/>
      <c r="H6" s="31"/>
      <c r="I6" s="31"/>
    </row>
    <row r="7" spans="1:9" ht="12.75">
      <c r="A7" s="51" t="s">
        <v>3</v>
      </c>
      <c r="B7" s="51"/>
      <c r="C7" s="51"/>
      <c r="D7" s="51"/>
      <c r="E7" s="51"/>
      <c r="F7" s="51"/>
      <c r="G7" s="51"/>
      <c r="H7" s="51"/>
      <c r="I7" s="51"/>
    </row>
    <row r="8" spans="1:9" ht="12.75">
      <c r="A8" s="31"/>
      <c r="B8" s="31"/>
      <c r="C8" s="31"/>
      <c r="D8" s="31"/>
      <c r="E8" s="31"/>
      <c r="F8" s="31"/>
      <c r="G8" s="31"/>
      <c r="H8" s="31"/>
      <c r="I8" s="31"/>
    </row>
    <row r="9" spans="1:9" ht="12.75">
      <c r="A9" s="37" t="s">
        <v>79</v>
      </c>
      <c r="B9" s="38"/>
      <c r="C9" s="38"/>
      <c r="D9" s="52" t="s">
        <v>80</v>
      </c>
      <c r="E9" s="52"/>
      <c r="F9" s="52"/>
      <c r="G9" s="52"/>
      <c r="H9" s="38"/>
      <c r="I9" s="38"/>
    </row>
    <row r="10" spans="1:9" ht="12.75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12.75">
      <c r="A11" s="37"/>
      <c r="B11" s="31"/>
      <c r="H11" s="31"/>
      <c r="I11" s="31"/>
    </row>
    <row r="12" spans="1:9" ht="12.75">
      <c r="A12" s="37"/>
      <c r="B12" s="31"/>
      <c r="C12" s="31"/>
      <c r="D12" s="39"/>
      <c r="H12" s="31"/>
      <c r="I12" s="31"/>
    </row>
    <row r="13" spans="1:9" ht="12.75">
      <c r="A13" s="37"/>
      <c r="B13" s="31"/>
      <c r="C13" s="31"/>
      <c r="D13" s="39"/>
      <c r="H13" s="31"/>
      <c r="I13" s="31"/>
    </row>
    <row r="14" spans="1:9" ht="12.75">
      <c r="A14" s="53" t="s">
        <v>93</v>
      </c>
      <c r="B14" s="53"/>
      <c r="C14" s="53"/>
      <c r="D14" s="53"/>
      <c r="E14" s="53"/>
      <c r="F14" s="53"/>
      <c r="G14" s="53"/>
      <c r="H14" s="53"/>
      <c r="I14" s="53"/>
    </row>
    <row r="15" spans="1:9" ht="12.75">
      <c r="A15" s="54"/>
      <c r="B15" s="54"/>
      <c r="C15" s="54"/>
      <c r="D15" s="54"/>
      <c r="E15" s="54"/>
      <c r="F15" s="54"/>
      <c r="G15" s="54"/>
      <c r="H15" s="54"/>
      <c r="I15" s="54"/>
    </row>
    <row r="16" spans="1:9" ht="12.75">
      <c r="A16" s="54"/>
      <c r="B16" s="54"/>
      <c r="C16" s="54"/>
      <c r="D16" s="54"/>
      <c r="E16" s="54"/>
      <c r="F16" s="54"/>
      <c r="G16" s="54"/>
      <c r="H16" s="54"/>
      <c r="I16" s="54"/>
    </row>
    <row r="17" spans="1:9" ht="12.75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12.75">
      <c r="A18" s="54"/>
      <c r="B18" s="54"/>
      <c r="C18" s="54"/>
      <c r="D18" s="54"/>
      <c r="E18" s="54"/>
      <c r="F18" s="54"/>
      <c r="G18" s="54"/>
      <c r="H18" s="54"/>
      <c r="I18" s="54"/>
    </row>
    <row r="19" spans="1:9" ht="12.75">
      <c r="A19" s="31"/>
      <c r="B19" s="31"/>
      <c r="C19" s="31"/>
      <c r="D19" s="31"/>
      <c r="E19" s="31"/>
      <c r="F19" s="31"/>
      <c r="G19" s="31"/>
      <c r="H19" s="31"/>
      <c r="I19" s="31"/>
    </row>
    <row r="20" spans="1:9" ht="12.75">
      <c r="A20" s="33" t="s">
        <v>110</v>
      </c>
      <c r="B20" s="40"/>
      <c r="C20" s="40"/>
      <c r="D20" s="40"/>
      <c r="E20" s="40"/>
      <c r="F20" s="40"/>
      <c r="G20" s="40"/>
      <c r="H20" s="40"/>
      <c r="I20" s="41"/>
    </row>
    <row r="21" spans="1:9" ht="12.75">
      <c r="A21" s="35"/>
      <c r="B21" s="35"/>
      <c r="C21" s="35"/>
      <c r="D21" s="35"/>
      <c r="E21" s="35"/>
      <c r="F21" s="35"/>
      <c r="G21" s="35"/>
      <c r="H21" s="35"/>
      <c r="I21" s="35"/>
    </row>
    <row r="22" spans="1:9" ht="12.75">
      <c r="A22" s="31"/>
      <c r="B22" s="31"/>
      <c r="C22" s="31"/>
      <c r="D22" s="31"/>
      <c r="E22" s="31"/>
      <c r="F22" s="31"/>
      <c r="G22" s="31"/>
      <c r="H22" s="31"/>
      <c r="I22" s="31"/>
    </row>
  </sheetData>
  <sheetProtection password="EEC4" sheet="1" objects="1"/>
  <mergeCells count="3">
    <mergeCell ref="A7:I7"/>
    <mergeCell ref="D9:G9"/>
    <mergeCell ref="A14:I18"/>
  </mergeCells>
  <printOptions/>
  <pageMargins left="0.75" right="0.75" top="1" bottom="1" header="0.5" footer="0.5"/>
  <pageSetup horizontalDpi="300" verticalDpi="300" orientation="portrait" paperSize="9" r:id="rId2"/>
  <rowBreaks count="1" manualBreakCount="1">
    <brk id="10" max="255" man="1"/>
  </rowBreaks>
  <colBreaks count="1" manualBreakCount="1">
    <brk id="3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4:O58"/>
  <sheetViews>
    <sheetView showGridLines="0" showRowColHeaders="0" showZeros="0" showOutlineSymbols="0" zoomScalePageLayoutView="0" workbookViewId="0" topLeftCell="A16">
      <selection activeCell="D5" sqref="D5"/>
    </sheetView>
  </sheetViews>
  <sheetFormatPr defaultColWidth="9.140625" defaultRowHeight="12.75"/>
  <cols>
    <col min="2" max="2" width="24.00390625" style="0" customWidth="1"/>
    <col min="4" max="4" width="13.00390625" style="0" customWidth="1"/>
    <col min="6" max="6" width="20.28125" style="0" customWidth="1"/>
    <col min="7" max="7" width="9.28125" style="0" bestFit="1" customWidth="1"/>
    <col min="10" max="10" width="9.28125" style="0" customWidth="1"/>
    <col min="12" max="12" width="9.57421875" style="0" customWidth="1"/>
    <col min="13" max="15" width="9.140625" style="0" hidden="1" customWidth="1"/>
    <col min="16" max="16" width="0" style="0" hidden="1" customWidth="1"/>
  </cols>
  <sheetData>
    <row r="3" ht="13.5" thickBot="1"/>
    <row r="4" spans="2:15" ht="12.75">
      <c r="B4" s="2" t="s">
        <v>0</v>
      </c>
      <c r="F4" s="45" t="s">
        <v>11</v>
      </c>
      <c r="G4" s="8"/>
      <c r="N4" s="3" t="b">
        <v>1</v>
      </c>
      <c r="O4" s="3">
        <f>IF(N4=FALSE,0,1)</f>
        <v>1</v>
      </c>
    </row>
    <row r="5" spans="2:7" ht="12.75">
      <c r="B5" t="s">
        <v>1</v>
      </c>
      <c r="D5" s="29">
        <v>40000</v>
      </c>
      <c r="F5" s="9" t="s">
        <v>69</v>
      </c>
      <c r="G5" s="10"/>
    </row>
    <row r="6" spans="6:7" ht="12.75">
      <c r="F6" s="9"/>
      <c r="G6" s="10"/>
    </row>
    <row r="7" spans="2:7" ht="12.75">
      <c r="B7" t="s">
        <v>48</v>
      </c>
      <c r="D7" s="29">
        <v>7000</v>
      </c>
      <c r="F7" s="9" t="str">
        <f>IF(O4=0,"","Private use % ")</f>
        <v>Private use % </v>
      </c>
      <c r="G7" s="14">
        <v>0.2</v>
      </c>
    </row>
    <row r="8" spans="6:7" ht="12.75">
      <c r="F8" s="9"/>
      <c r="G8" s="10"/>
    </row>
    <row r="9" spans="2:7" ht="12.75">
      <c r="B9" t="s">
        <v>16</v>
      </c>
      <c r="D9" s="6">
        <v>3</v>
      </c>
      <c r="F9" s="9"/>
      <c r="G9" s="10"/>
    </row>
    <row r="10" spans="6:7" ht="12.75">
      <c r="F10" s="9"/>
      <c r="G10" s="10"/>
    </row>
    <row r="11" spans="2:7" ht="12.75">
      <c r="B11" t="s">
        <v>2</v>
      </c>
      <c r="D11" s="29">
        <v>1000</v>
      </c>
      <c r="F11" s="9"/>
      <c r="G11" s="10"/>
    </row>
    <row r="12" spans="6:7" ht="12.75">
      <c r="F12" s="9"/>
      <c r="G12" s="10"/>
    </row>
    <row r="13" spans="2:7" ht="12.75">
      <c r="B13" t="s">
        <v>86</v>
      </c>
      <c r="D13" s="43">
        <v>0.2</v>
      </c>
      <c r="F13" s="9"/>
      <c r="G13" s="10"/>
    </row>
    <row r="14" spans="4:7" ht="12.75">
      <c r="D14" s="46">
        <v>0</v>
      </c>
      <c r="F14" s="9"/>
      <c r="G14" s="10"/>
    </row>
    <row r="15" spans="2:7" ht="12.75">
      <c r="B15" t="s">
        <v>47</v>
      </c>
      <c r="D15" s="4">
        <v>0.4</v>
      </c>
      <c r="F15" s="9"/>
      <c r="G15" s="10"/>
    </row>
    <row r="16" spans="4:7" ht="12.75">
      <c r="D16" s="46">
        <v>0</v>
      </c>
      <c r="F16" s="44" t="s">
        <v>83</v>
      </c>
      <c r="G16" s="10"/>
    </row>
    <row r="17" spans="2:15" ht="12.75">
      <c r="B17" t="s">
        <v>5</v>
      </c>
      <c r="D17" s="4">
        <v>1</v>
      </c>
      <c r="F17" s="9" t="str">
        <f>IF(O4=1,"Tick if 100% FYA due","")</f>
        <v>Tick if 100% FYA due</v>
      </c>
      <c r="G17" s="10"/>
      <c r="N17" s="3" t="b">
        <v>0</v>
      </c>
      <c r="O17" s="3">
        <f>IF(N17=FALSE,0,1)</f>
        <v>0</v>
      </c>
    </row>
    <row r="18" spans="2:7" ht="12.75">
      <c r="B18" t="s">
        <v>3</v>
      </c>
      <c r="D18">
        <v>0</v>
      </c>
      <c r="F18" s="9" t="s">
        <v>70</v>
      </c>
      <c r="G18" s="10"/>
    </row>
    <row r="19" spans="2:15" ht="12.75">
      <c r="B19" t="str">
        <f>IF(conthire=1,"Contract hire payments (monthly)","Lease payments  (monthly)")</f>
        <v>Lease payments  (monthly)</v>
      </c>
      <c r="D19" s="29">
        <v>540</v>
      </c>
      <c r="F19" s="9" t="str">
        <f>IF($O$19=0,"","Vat on lease")</f>
        <v>Vat on lease</v>
      </c>
      <c r="G19" s="11">
        <f>IF($O$19=0,"",+D19*VATRate)</f>
        <v>108</v>
      </c>
      <c r="N19" s="3" t="b">
        <v>1</v>
      </c>
      <c r="O19" s="3">
        <f>IF(N19=FALSE,0,1)</f>
        <v>1</v>
      </c>
    </row>
    <row r="20" spans="4:7" ht="12.75">
      <c r="D20">
        <v>0</v>
      </c>
      <c r="F20" s="9"/>
      <c r="G20" s="10"/>
    </row>
    <row r="21" spans="2:7" ht="12.75">
      <c r="B21" t="s">
        <v>57</v>
      </c>
      <c r="D21" s="5">
        <v>12</v>
      </c>
      <c r="F21" s="50" t="s">
        <v>109</v>
      </c>
      <c r="G21" s="10"/>
    </row>
    <row r="22" spans="2:15" ht="12.75">
      <c r="B22" t="s">
        <v>4</v>
      </c>
      <c r="F22" s="9"/>
      <c r="G22" s="10"/>
      <c r="N22" s="3" t="b">
        <v>1</v>
      </c>
      <c r="O22" s="3">
        <f>IF(N22=FALSE,0,1)</f>
        <v>1</v>
      </c>
    </row>
    <row r="23" spans="6:7" ht="12.75">
      <c r="F23" s="9" t="s">
        <v>56</v>
      </c>
      <c r="G23" s="10">
        <v>0</v>
      </c>
    </row>
    <row r="24" spans="2:7" ht="12.75">
      <c r="B24" t="str">
        <f>IF(conthire=1,"Total number of contract payments","Total number of lease payments")</f>
        <v>Total number of lease payments</v>
      </c>
      <c r="D24" s="28">
        <v>36</v>
      </c>
      <c r="F24" s="9">
        <f>IF(conthire=1,"Maintenance costs etc","")</f>
      </c>
      <c r="G24" s="30">
        <v>0</v>
      </c>
    </row>
    <row r="25" spans="4:7" ht="12.75">
      <c r="D25">
        <v>0</v>
      </c>
      <c r="F25" s="9"/>
      <c r="G25" s="10"/>
    </row>
    <row r="26" spans="2:15" ht="12.75">
      <c r="B26" t="s">
        <v>63</v>
      </c>
      <c r="D26" s="26">
        <v>0.03</v>
      </c>
      <c r="F26" s="9"/>
      <c r="G26" s="10"/>
      <c r="N26" s="3" t="b">
        <v>0</v>
      </c>
      <c r="O26" s="3">
        <f>IF(N26=FALSE,0,1)</f>
        <v>0</v>
      </c>
    </row>
    <row r="27" spans="2:7" ht="12.75" customHeight="1" thickBot="1">
      <c r="B27" t="s">
        <v>74</v>
      </c>
      <c r="D27" s="27">
        <v>100</v>
      </c>
      <c r="F27" s="12"/>
      <c r="G27" s="13"/>
    </row>
    <row r="28" spans="2:4" ht="12.75" customHeight="1">
      <c r="B28" t="s">
        <v>75</v>
      </c>
      <c r="D28" s="27">
        <v>100</v>
      </c>
    </row>
    <row r="29" ht="12.75" customHeight="1"/>
    <row r="30" ht="12" customHeight="1">
      <c r="B30" s="23"/>
    </row>
    <row r="31" ht="12" customHeight="1">
      <c r="B31" s="42"/>
    </row>
    <row r="32" ht="3.75" customHeight="1"/>
    <row r="33" ht="0.75" customHeight="1">
      <c r="B33" s="23"/>
    </row>
    <row r="37" ht="0.75" customHeight="1"/>
    <row r="38" spans="2:8" ht="12.75">
      <c r="B38" s="58" t="s">
        <v>49</v>
      </c>
      <c r="C38" s="58"/>
      <c r="D38" s="58"/>
      <c r="E38" s="58"/>
      <c r="F38" s="58"/>
      <c r="G38" s="58"/>
      <c r="H38" s="58"/>
    </row>
    <row r="39" spans="2:8" ht="12.75">
      <c r="B39" s="55" t="s">
        <v>50</v>
      </c>
      <c r="C39" s="55"/>
      <c r="D39" s="55"/>
      <c r="E39" s="55"/>
      <c r="F39" s="55"/>
      <c r="G39" s="55"/>
      <c r="H39" s="55"/>
    </row>
    <row r="40" spans="2:8" ht="12.75">
      <c r="B40" s="55" t="s">
        <v>51</v>
      </c>
      <c r="C40" s="55"/>
      <c r="D40" s="55"/>
      <c r="E40" s="55"/>
      <c r="F40" s="55"/>
      <c r="G40" s="55"/>
      <c r="H40" s="55"/>
    </row>
    <row r="41" spans="2:8" ht="12.75">
      <c r="B41" s="55" t="s">
        <v>54</v>
      </c>
      <c r="C41" s="55"/>
      <c r="D41" s="55"/>
      <c r="E41" s="55"/>
      <c r="F41" s="55"/>
      <c r="G41" s="55"/>
      <c r="H41" s="55"/>
    </row>
    <row r="42" spans="2:8" ht="12.75" customHeight="1">
      <c r="B42" s="55" t="s">
        <v>55</v>
      </c>
      <c r="C42" s="55"/>
      <c r="D42" s="55"/>
      <c r="E42" s="55"/>
      <c r="F42" s="55"/>
      <c r="G42" s="55"/>
      <c r="H42" s="55"/>
    </row>
    <row r="43" spans="2:8" ht="12.75" customHeight="1">
      <c r="B43" s="55" t="s">
        <v>53</v>
      </c>
      <c r="C43" s="55"/>
      <c r="D43" s="55"/>
      <c r="E43" s="55"/>
      <c r="F43" s="55"/>
      <c r="G43" s="55"/>
      <c r="H43" s="55"/>
    </row>
    <row r="44" spans="2:8" ht="12.75">
      <c r="B44" s="55" t="s">
        <v>78</v>
      </c>
      <c r="C44" s="55"/>
      <c r="D44" s="55"/>
      <c r="E44" s="55"/>
      <c r="F44" s="55"/>
      <c r="G44" s="55"/>
      <c r="H44" s="55"/>
    </row>
    <row r="45" spans="2:8" ht="12.75">
      <c r="B45" s="55" t="s">
        <v>52</v>
      </c>
      <c r="C45" s="55"/>
      <c r="D45" s="55"/>
      <c r="E45" s="55"/>
      <c r="F45" s="55"/>
      <c r="G45" s="55"/>
      <c r="H45" s="55"/>
    </row>
    <row r="46" spans="2:8" ht="12.75">
      <c r="B46" s="56" t="s">
        <v>87</v>
      </c>
      <c r="C46" s="56"/>
      <c r="D46" s="56"/>
      <c r="E46" s="56"/>
      <c r="F46" s="56"/>
      <c r="G46" s="56"/>
      <c r="H46" s="56"/>
    </row>
    <row r="47" spans="2:8" ht="12.75">
      <c r="B47" s="56"/>
      <c r="C47" s="56"/>
      <c r="D47" s="56"/>
      <c r="E47" s="56"/>
      <c r="F47" s="56"/>
      <c r="G47" s="56"/>
      <c r="H47" s="56"/>
    </row>
    <row r="48" spans="2:8" ht="12.75">
      <c r="B48" s="57"/>
      <c r="C48" s="57"/>
      <c r="D48" s="57"/>
      <c r="E48" s="57"/>
      <c r="F48" s="57"/>
      <c r="G48" s="57"/>
      <c r="H48" s="57"/>
    </row>
    <row r="49" ht="12.75">
      <c r="B49" t="s">
        <v>84</v>
      </c>
    </row>
    <row r="50" ht="12.75">
      <c r="B50" t="s">
        <v>85</v>
      </c>
    </row>
    <row r="51" spans="2:4" ht="12.75">
      <c r="B51" t="s">
        <v>3</v>
      </c>
      <c r="C51" t="s">
        <v>102</v>
      </c>
      <c r="D51" t="s">
        <v>103</v>
      </c>
    </row>
    <row r="52" spans="2:3" ht="12.75">
      <c r="B52" t="s">
        <v>101</v>
      </c>
      <c r="C52" s="46">
        <v>1</v>
      </c>
    </row>
    <row r="53" spans="2:3" ht="12.75">
      <c r="B53" t="s">
        <v>107</v>
      </c>
      <c r="C53" s="46">
        <v>0.18</v>
      </c>
    </row>
    <row r="54" spans="2:3" ht="12.75">
      <c r="B54" t="s">
        <v>108</v>
      </c>
      <c r="C54" s="46">
        <v>0.08</v>
      </c>
    </row>
    <row r="55" spans="2:4" ht="12.75">
      <c r="B55" t="s">
        <v>3</v>
      </c>
      <c r="D55" s="46" t="s">
        <v>3</v>
      </c>
    </row>
    <row r="56" spans="2:4" ht="12.75">
      <c r="B56" t="s">
        <v>104</v>
      </c>
      <c r="D56" s="46">
        <v>1</v>
      </c>
    </row>
    <row r="57" spans="2:4" ht="12.75">
      <c r="B57" t="s">
        <v>106</v>
      </c>
      <c r="D57" s="46">
        <v>0.18</v>
      </c>
    </row>
    <row r="58" spans="2:4" ht="12.75">
      <c r="B58" t="s">
        <v>105</v>
      </c>
      <c r="D58" s="46">
        <v>0.08</v>
      </c>
    </row>
  </sheetData>
  <sheetProtection/>
  <mergeCells count="9">
    <mergeCell ref="B42:H42"/>
    <mergeCell ref="B43:H43"/>
    <mergeCell ref="B44:H44"/>
    <mergeCell ref="B45:H45"/>
    <mergeCell ref="B46:H48"/>
    <mergeCell ref="B38:H38"/>
    <mergeCell ref="B39:H39"/>
    <mergeCell ref="B40:H40"/>
    <mergeCell ref="B41:H41"/>
  </mergeCells>
  <conditionalFormatting sqref="G7">
    <cfRule type="expression" priority="2" dxfId="9" stopIfTrue="1">
      <formula>$O$4=1</formula>
    </cfRule>
  </conditionalFormatting>
  <conditionalFormatting sqref="G24">
    <cfRule type="expression" priority="1" dxfId="8" stopIfTrue="1">
      <formula>"if($0$26=1)"</formula>
    </cfRule>
    <cfRule type="expression" priority="3" dxfId="7" stopIfTrue="1">
      <formula>$O$26=0</formula>
    </cfRule>
  </conditionalFormatting>
  <dataValidations count="1">
    <dataValidation type="whole" allowBlank="1" showInputMessage="1" showErrorMessage="1" sqref="D21">
      <formula1>0</formula1>
      <formula2>15</formula2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Q59"/>
  <sheetViews>
    <sheetView showGridLines="0" showRowColHeaders="0" showZeros="0" showOutlineSymbols="0" zoomScalePageLayoutView="0" workbookViewId="0" topLeftCell="A1">
      <selection activeCell="G10" sqref="G10"/>
    </sheetView>
  </sheetViews>
  <sheetFormatPr defaultColWidth="9.140625" defaultRowHeight="12.75"/>
  <cols>
    <col min="2" max="3" width="0" style="0" hidden="1" customWidth="1"/>
    <col min="7" max="7" width="12.7109375" style="0" customWidth="1"/>
    <col min="8" max="8" width="3.140625" style="0" customWidth="1"/>
    <col min="9" max="9" width="12.7109375" style="0" customWidth="1"/>
    <col min="10" max="10" width="3.421875" style="0" customWidth="1"/>
    <col min="11" max="11" width="12.7109375" style="0" customWidth="1"/>
    <col min="12" max="12" width="3.8515625" style="0" customWidth="1"/>
    <col min="13" max="13" width="12.7109375" style="0" customWidth="1"/>
    <col min="14" max="14" width="3.57421875" style="0" customWidth="1"/>
    <col min="15" max="15" width="12.7109375" style="0" customWidth="1"/>
    <col min="16" max="16" width="3.00390625" style="0" customWidth="1"/>
    <col min="17" max="17" width="12.7109375" style="0" customWidth="1"/>
  </cols>
  <sheetData>
    <row r="2" ht="12.75">
      <c r="F2" t="s">
        <v>3</v>
      </c>
    </row>
    <row r="3" ht="12.75" hidden="1"/>
    <row r="4" ht="12.75" hidden="1"/>
    <row r="5" spans="7:17" ht="12.75">
      <c r="G5" s="16" t="s">
        <v>6</v>
      </c>
      <c r="H5" s="16"/>
      <c r="I5" s="16" t="s">
        <v>13</v>
      </c>
      <c r="J5" s="16"/>
      <c r="K5" s="16" t="s">
        <v>15</v>
      </c>
      <c r="L5" s="16"/>
      <c r="M5" s="16">
        <f>IF(noyr4&gt;0,"Year 4","")</f>
      </c>
      <c r="N5" s="16"/>
      <c r="O5" s="16">
        <f>IF(noyr5&gt;0,"Year 5","")</f>
      </c>
      <c r="Q5" t="s">
        <v>3</v>
      </c>
    </row>
    <row r="6" spans="4:10" ht="12.75">
      <c r="D6" t="s">
        <v>3</v>
      </c>
      <c r="J6" t="s">
        <v>3</v>
      </c>
    </row>
    <row r="8" spans="4:9" ht="12.75">
      <c r="D8" s="2" t="s">
        <v>37</v>
      </c>
      <c r="E8" t="s">
        <v>3</v>
      </c>
      <c r="G8" t="s">
        <v>3</v>
      </c>
      <c r="I8" t="s">
        <v>3</v>
      </c>
    </row>
    <row r="10" spans="2:15" ht="12.75">
      <c r="B10" t="s">
        <v>3</v>
      </c>
      <c r="D10" s="49" t="s">
        <v>95</v>
      </c>
      <c r="G10">
        <f>IF(car=1,yr1cascar,yr1casnoncar)</f>
        <v>3200</v>
      </c>
      <c r="I10">
        <f>IF(car=1,yr2cascar,yr2casnoncar)</f>
        <v>2944</v>
      </c>
      <c r="K10">
        <f>IF(noyr4&gt;0,yr3cascar,bacar1)</f>
        <v>26856</v>
      </c>
      <c r="M10">
        <f>IF(noyr4=0,0,IF(noyr5&gt;0,yr4cascar,bacar2))</f>
        <v>0</v>
      </c>
      <c r="O10">
        <f>IF(noyr5&gt;0,barcar3,0)</f>
        <v>0</v>
      </c>
    </row>
    <row r="11" spans="4:15" ht="12.75">
      <c r="D11" t="s">
        <v>46</v>
      </c>
      <c r="F11" s="15">
        <f>IF(pucar&gt;0,pucar,"")</f>
        <v>0.2</v>
      </c>
      <c r="G11">
        <f>ROUND(IF(pucar=0,0,-G10*$F$11),0)</f>
        <v>-640</v>
      </c>
      <c r="I11">
        <f>ROUND(IF(pucar=0,0,-I10*$F$11),0)</f>
        <v>-589</v>
      </c>
      <c r="K11">
        <f>ROUND(IF(pucar=0,0,-K10*$F$11),0)</f>
        <v>-5371</v>
      </c>
      <c r="M11">
        <f>ROUND(IF(pucar=0,0,-M10*$F$11),0)</f>
        <v>0</v>
      </c>
      <c r="O11">
        <f>ROUND(IF(pucar=0,0,-O10*$F$11),0)</f>
        <v>0</v>
      </c>
    </row>
    <row r="12" spans="4:15" ht="12.75">
      <c r="D12" s="49" t="s">
        <v>94</v>
      </c>
      <c r="F12" s="15"/>
      <c r="G12" s="18">
        <f>G10+G11</f>
        <v>2560</v>
      </c>
      <c r="I12" s="18">
        <f>I10+I11</f>
        <v>2355</v>
      </c>
      <c r="K12" s="18">
        <f>K10+K11</f>
        <v>21485</v>
      </c>
      <c r="M12" s="21">
        <f>M10+M11</f>
        <v>0</v>
      </c>
      <c r="O12">
        <f>O10+O11</f>
        <v>0</v>
      </c>
    </row>
    <row r="13" spans="4:15" ht="12.75">
      <c r="D13" t="str">
        <f>IF(hpintyr1=0,"","HP Interest")</f>
        <v>HP Interest</v>
      </c>
      <c r="G13">
        <f>hpintyr1</f>
        <v>333</v>
      </c>
      <c r="I13">
        <f>hpintyr2</f>
        <v>333</v>
      </c>
      <c r="K13">
        <f>hpintyr3</f>
        <v>333</v>
      </c>
      <c r="M13">
        <f>hpintyr4</f>
        <v>0</v>
      </c>
      <c r="O13">
        <f>hpintyr5</f>
        <v>0</v>
      </c>
    </row>
    <row r="14" spans="4:15" ht="12.75">
      <c r="D14" t="s">
        <v>73</v>
      </c>
      <c r="K14">
        <f>IF(noyr4&gt;0,0,hpcosts)</f>
        <v>100</v>
      </c>
      <c r="M14">
        <f>IF(noyr4=0,0,IF(noyr5&gt;0,0,hpcosts))</f>
        <v>0</v>
      </c>
      <c r="O14">
        <f>IF(noyr5&gt;0,hpcosts,0)</f>
        <v>0</v>
      </c>
    </row>
    <row r="15" spans="4:15" ht="12.75">
      <c r="D15">
        <f>IF(maintyr1=0,"","Maintenance costs")</f>
      </c>
      <c r="G15">
        <f>maintyr1</f>
        <v>0</v>
      </c>
      <c r="I15">
        <f>maintyr2</f>
        <v>0</v>
      </c>
      <c r="K15">
        <f>maintyr3</f>
        <v>0</v>
      </c>
      <c r="M15">
        <f>maintyr4</f>
        <v>0</v>
      </c>
      <c r="O15">
        <f>maintyr5</f>
        <v>0</v>
      </c>
    </row>
    <row r="16" spans="4:15" ht="12.75">
      <c r="D16" t="s">
        <v>46</v>
      </c>
      <c r="F16" s="15">
        <f>IF(pucar&gt;0,pucar,"")</f>
        <v>0.2</v>
      </c>
      <c r="G16">
        <f>ROUND(IF(pucar=0,0,-G13*$F$11+(-G15*$F$11)),0)</f>
        <v>-67</v>
      </c>
      <c r="I16">
        <f>ROUND(IF(pucar=0,0,-I13*$F$11+(-I15*$F$11)),0)</f>
        <v>-67</v>
      </c>
      <c r="K16">
        <f>ROUND(IF(pucar=0,0,-(K13+K14)*$F$11+(-K15*$F$11)),0)</f>
        <v>-87</v>
      </c>
      <c r="M16">
        <f>ROUND(IF(pucar=0,0,-(M13+M14)*$F$11+(-M15*$F$11)),0)</f>
        <v>0</v>
      </c>
      <c r="O16">
        <f>ROUND(IF(pucar=0,0,-(O13+O14)*$F$11+(-O15*$F$11)),0)</f>
        <v>0</v>
      </c>
    </row>
    <row r="17" spans="4:15" ht="12.75">
      <c r="D17" t="s">
        <v>30</v>
      </c>
      <c r="G17" s="18">
        <f>SUM(G12:G16)</f>
        <v>2826</v>
      </c>
      <c r="H17" t="s">
        <v>3</v>
      </c>
      <c r="I17" s="18">
        <f>SUM(I12:I16)</f>
        <v>2621</v>
      </c>
      <c r="J17" t="s">
        <v>3</v>
      </c>
      <c r="K17" s="18">
        <f>SUM(K12:K16)</f>
        <v>21831</v>
      </c>
      <c r="M17" s="21">
        <f>SUM(M12:M16)</f>
        <v>0</v>
      </c>
      <c r="O17">
        <f>SUM(O12:O16)</f>
        <v>0</v>
      </c>
    </row>
    <row r="19" spans="4:15" ht="12.75">
      <c r="D19" t="s">
        <v>31</v>
      </c>
      <c r="G19" s="20">
        <f>itrate</f>
        <v>0.4</v>
      </c>
      <c r="H19" s="2"/>
      <c r="I19" s="20">
        <f>itrate</f>
        <v>0.4</v>
      </c>
      <c r="J19" s="2"/>
      <c r="K19" s="20">
        <f>itrate</f>
        <v>0.4</v>
      </c>
      <c r="L19" s="2"/>
      <c r="M19" s="20">
        <f>IF(noyr4&gt;0,itrate,"")</f>
      </c>
      <c r="N19" s="2"/>
      <c r="O19" s="20">
        <f>IF(noyr5&gt;0,itrate,"")</f>
      </c>
    </row>
    <row r="20" ht="12.75">
      <c r="Q20" s="16" t="s">
        <v>45</v>
      </c>
    </row>
    <row r="21" spans="4:17" ht="12.75">
      <c r="D21" s="2" t="s">
        <v>36</v>
      </c>
      <c r="E21" s="2"/>
      <c r="F21" s="2" t="s">
        <v>41</v>
      </c>
      <c r="G21" s="17">
        <f>G17*G19</f>
        <v>1130.4</v>
      </c>
      <c r="H21" s="2"/>
      <c r="I21" s="17">
        <f>I17*I19</f>
        <v>1048.4</v>
      </c>
      <c r="J21" s="2"/>
      <c r="K21" s="17">
        <f>K17*K19</f>
        <v>8732.4</v>
      </c>
      <c r="L21" s="2"/>
      <c r="M21" s="17">
        <f>IF(noyr4&gt;0,M17*M19,0)</f>
        <v>0</v>
      </c>
      <c r="O21" s="17">
        <f>IF(noyr5&gt;0,O17*O19,"")</f>
      </c>
      <c r="Q21" s="17">
        <f>SUM(G21:P21)</f>
        <v>10911.2</v>
      </c>
    </row>
    <row r="22" spans="4:17" ht="12.75">
      <c r="D22" t="s">
        <v>3</v>
      </c>
      <c r="G22" t="s">
        <v>3</v>
      </c>
      <c r="H22" t="s">
        <v>3</v>
      </c>
      <c r="I22" t="s">
        <v>3</v>
      </c>
      <c r="J22" t="s">
        <v>3</v>
      </c>
      <c r="K22" t="s">
        <v>3</v>
      </c>
      <c r="L22" t="s">
        <v>3</v>
      </c>
      <c r="M22" t="s">
        <v>3</v>
      </c>
      <c r="N22" t="s">
        <v>3</v>
      </c>
      <c r="O22" t="s">
        <v>3</v>
      </c>
      <c r="Q22">
        <f>SUM(G22:P22)</f>
        <v>0</v>
      </c>
    </row>
    <row r="24" spans="2:4" ht="12.75">
      <c r="B24" t="s">
        <v>3</v>
      </c>
      <c r="D24" s="2" t="str">
        <f>IF(conthire=1,"Contract","Lease")</f>
        <v>Lease</v>
      </c>
    </row>
    <row r="25" ht="12.75">
      <c r="F25" s="15"/>
    </row>
    <row r="26" spans="4:17" ht="12.75">
      <c r="D26" t="str">
        <f>IF(conthire=1,"Contract payments","Lease payments")</f>
        <v>Lease payments</v>
      </c>
      <c r="F26" s="15"/>
      <c r="G26">
        <f>workings!$H$37</f>
        <v>6480</v>
      </c>
      <c r="I26">
        <f>workings!$H$38</f>
        <v>6480</v>
      </c>
      <c r="K26">
        <f>workings!$H$39</f>
        <v>6480</v>
      </c>
      <c r="M26">
        <f>workings!$H$40</f>
        <v>0</v>
      </c>
      <c r="O26">
        <f>workings!$H$41</f>
        <v>0</v>
      </c>
      <c r="Q26" s="17">
        <f>SUM(G26:P26)</f>
        <v>19440</v>
      </c>
    </row>
    <row r="27" spans="4:17" ht="12.75">
      <c r="D27" t="s">
        <v>73</v>
      </c>
      <c r="F27" s="15"/>
      <c r="G27">
        <f>contcosts</f>
        <v>100</v>
      </c>
      <c r="Q27" s="17">
        <f>SUM(G27:P27)</f>
        <v>100</v>
      </c>
    </row>
    <row r="28" spans="4:15" ht="12.75">
      <c r="D28" t="str">
        <f>IF(conthire=1,"Expensive car restriction","Expensive car restriction")</f>
        <v>Expensive car restriction</v>
      </c>
      <c r="G28" s="19">
        <f>IF(conthire=1,-leaseexprest1,-workings!$M$37)</f>
        <v>-972</v>
      </c>
      <c r="H28" s="19"/>
      <c r="I28" s="19">
        <f>IF(conthire=1,-leaseexprest2,-workings!$M$38)</f>
        <v>-972</v>
      </c>
      <c r="J28" s="19"/>
      <c r="K28" s="19">
        <f>IF(conthire=1,-leaseexprest3,-workings!$M$39)</f>
        <v>-972</v>
      </c>
      <c r="L28" s="19"/>
      <c r="M28" s="19">
        <f>IF(conthire=1,-leaseexprest4,-workings!$M$40)</f>
        <v>0</v>
      </c>
      <c r="O28" s="19">
        <f>IF(conthire=1,-leaseexprest5,-workings!$M$41)</f>
        <v>0</v>
      </c>
    </row>
    <row r="29" spans="4:15" ht="12.75">
      <c r="D29" t="str">
        <f>IF(pucar=0,"","Private use restriction")</f>
        <v>Private use restriction</v>
      </c>
      <c r="F29" s="15">
        <f>IF(pucar&gt;0,pucar,"")</f>
        <v>0.2</v>
      </c>
      <c r="G29">
        <f>ROUND(IF(pucar=0,0,-(G26+G27+G28)*$F$29),0)</f>
        <v>-1122</v>
      </c>
      <c r="I29">
        <f>ROUND(IF(pucar=0,0,-(I26+I28)*$F$29),0)</f>
        <v>-1102</v>
      </c>
      <c r="K29">
        <f>ROUND(IF(pucar=0,0,-(K26+K28)*$F$29),0)</f>
        <v>-1102</v>
      </c>
      <c r="M29">
        <f>ROUND(IF(pucar=0,0,-(M26+M28)*$F$29),0)</f>
        <v>0</v>
      </c>
      <c r="O29">
        <f>ROUND(IF(pucar=0,0,-(O26+O28)*$F$29),0)</f>
        <v>0</v>
      </c>
    </row>
    <row r="30" spans="4:15" ht="12.75">
      <c r="D30" t="str">
        <f>IF(vatreg=1,"VAT not reclaimable","")</f>
        <v>VAT not reclaimable</v>
      </c>
      <c r="F30" s="15"/>
      <c r="G30">
        <f>workings!$J$37</f>
        <v>648</v>
      </c>
      <c r="I30">
        <f>workings!$J$38</f>
        <v>648</v>
      </c>
      <c r="K30">
        <f>workings!$J$39</f>
        <v>648</v>
      </c>
      <c r="M30">
        <f>workings!$J$40</f>
        <v>0</v>
      </c>
      <c r="O30">
        <f>workings!$J$41</f>
        <v>0</v>
      </c>
    </row>
    <row r="31" spans="4:17" ht="12.75">
      <c r="D31" t="str">
        <f>IF(conthire=1,"","Lease rebate of rentals")</f>
        <v>Lease rebate of rentals</v>
      </c>
      <c r="G31" t="s">
        <v>3</v>
      </c>
      <c r="I31" t="s">
        <v>3</v>
      </c>
      <c r="K31">
        <f>IF(conthire=1,"",IF(noyr4&gt;0,0,-rebate*residual))</f>
        <v>-210</v>
      </c>
      <c r="M31">
        <f>IF(noyr4=0,0,IF(noyr5&gt;0,0,-rebate*residual))</f>
        <v>0</v>
      </c>
      <c r="O31">
        <f>IF(noyr5&gt;0,-rebate*residual,0)</f>
        <v>0</v>
      </c>
      <c r="Q31" s="17">
        <f>SUM(G31:P31)</f>
        <v>-210</v>
      </c>
    </row>
    <row r="32" spans="4:15" ht="12.75">
      <c r="D32" t="str">
        <f>IF(pucar&gt;0,IF(rebate&gt;0,"Private use restriction",0))</f>
        <v>Private use restriction</v>
      </c>
      <c r="F32" s="15">
        <f>IF(rebate&gt;=0,0,IF(pucar&gt;0,pucar,""))</f>
        <v>0</v>
      </c>
      <c r="K32">
        <f>IF(conthire=1,"",-K31*0.5)</f>
        <v>105</v>
      </c>
      <c r="M32">
        <f>-M31*0.5</f>
        <v>0</v>
      </c>
      <c r="O32">
        <f>-O31*0.5</f>
        <v>0</v>
      </c>
    </row>
    <row r="33" spans="4:15" ht="12.75">
      <c r="D33" t="s">
        <v>40</v>
      </c>
      <c r="G33" s="22">
        <f>SUM(G26:G32)</f>
        <v>5134</v>
      </c>
      <c r="H33" s="19" t="s">
        <v>3</v>
      </c>
      <c r="I33" s="22">
        <f aca="true" t="shared" si="0" ref="I33:O33">SUM(I26:I32)</f>
        <v>5054</v>
      </c>
      <c r="J33" s="19" t="s">
        <v>3</v>
      </c>
      <c r="K33" s="22">
        <f t="shared" si="0"/>
        <v>4949</v>
      </c>
      <c r="L33" s="19" t="s">
        <v>3</v>
      </c>
      <c r="M33" s="19">
        <f t="shared" si="0"/>
        <v>0</v>
      </c>
      <c r="N33" s="19" t="s">
        <v>3</v>
      </c>
      <c r="O33" s="19">
        <f t="shared" si="0"/>
        <v>0</v>
      </c>
    </row>
    <row r="35" spans="4:16" ht="12.75">
      <c r="D35" s="2" t="s">
        <v>31</v>
      </c>
      <c r="E35" s="2"/>
      <c r="F35" s="2"/>
      <c r="G35" s="20">
        <f>itrate</f>
        <v>0.4</v>
      </c>
      <c r="H35" s="2"/>
      <c r="I35" s="20">
        <f>itrate</f>
        <v>0.4</v>
      </c>
      <c r="J35" s="2"/>
      <c r="K35" s="20">
        <f>itrate</f>
        <v>0.4</v>
      </c>
      <c r="L35" s="2"/>
      <c r="M35" s="20">
        <f>IF(noyr4&gt;0,itrate,0)</f>
        <v>0</v>
      </c>
      <c r="N35" s="2"/>
      <c r="O35" s="20">
        <f>IF(noyr5&gt;0,itrate,"")</f>
      </c>
      <c r="P35" s="2"/>
    </row>
    <row r="36" ht="12.75">
      <c r="Q36" s="16" t="s">
        <v>45</v>
      </c>
    </row>
    <row r="37" spans="2:17" ht="12.75">
      <c r="B37" t="s">
        <v>3</v>
      </c>
      <c r="D37" s="2" t="s">
        <v>36</v>
      </c>
      <c r="E37" s="2"/>
      <c r="F37" s="2" t="s">
        <v>42</v>
      </c>
      <c r="G37" s="17">
        <f>G33*G35</f>
        <v>2053.6</v>
      </c>
      <c r="H37" s="2"/>
      <c r="I37" s="17">
        <f>I33*I35</f>
        <v>2021.6000000000001</v>
      </c>
      <c r="J37" s="2"/>
      <c r="K37" s="17">
        <f>K33*K35</f>
        <v>1979.6000000000001</v>
      </c>
      <c r="L37" s="2"/>
      <c r="M37" s="17">
        <f>M33*M35</f>
        <v>0</v>
      </c>
      <c r="O37" s="17">
        <f>IF(noyr5&gt;0,O33*O35,"")</f>
      </c>
      <c r="Q37" s="17">
        <f>SUM(G37:P37)</f>
        <v>6054.8</v>
      </c>
    </row>
    <row r="38" ht="12.75">
      <c r="F38" s="15"/>
    </row>
    <row r="39" spans="4:17" ht="12.75">
      <c r="D39" t="s">
        <v>44</v>
      </c>
      <c r="F39" s="20" t="s">
        <v>43</v>
      </c>
      <c r="G39" s="17">
        <f>G21-G37</f>
        <v>-923.1999999999998</v>
      </c>
      <c r="H39" s="2"/>
      <c r="I39" s="17">
        <f>I21-I37</f>
        <v>-973.2</v>
      </c>
      <c r="J39" s="2"/>
      <c r="K39" s="17">
        <f>K21-K37</f>
        <v>6752.799999999999</v>
      </c>
      <c r="L39" s="2"/>
      <c r="M39" s="17">
        <f>M21-M37</f>
        <v>0</v>
      </c>
      <c r="O39" s="17">
        <f>IF(noyr5&gt;0,O21-O37,0)</f>
        <v>0</v>
      </c>
      <c r="Q39" s="17">
        <f>SUM(G39:P39)</f>
        <v>4856.4</v>
      </c>
    </row>
    <row r="41" ht="12.75">
      <c r="D41" s="2"/>
    </row>
    <row r="44" spans="4:7" ht="12.75">
      <c r="D44" s="2" t="s">
        <v>58</v>
      </c>
      <c r="G44" s="15"/>
    </row>
    <row r="45" spans="4:11" ht="12.75">
      <c r="D45" s="2" t="s">
        <v>37</v>
      </c>
      <c r="G45" t="s">
        <v>1</v>
      </c>
      <c r="H45" t="s">
        <v>3</v>
      </c>
      <c r="I45" s="17">
        <f>cost</f>
        <v>40000</v>
      </c>
      <c r="K45" s="2" t="s">
        <v>3</v>
      </c>
    </row>
    <row r="46" spans="7:9" ht="12.75">
      <c r="G46" s="7" t="s">
        <v>76</v>
      </c>
      <c r="I46" s="17">
        <f>hpint+hpcosts</f>
        <v>1100</v>
      </c>
    </row>
    <row r="47" spans="7:9" ht="12.75">
      <c r="G47" s="7">
        <f>IF(maintcosts2&gt;0,"Maintenance","")</f>
      </c>
      <c r="I47" s="17">
        <f>maintcosts2</f>
        <v>0</v>
      </c>
    </row>
    <row r="48" spans="7:9" ht="12.75">
      <c r="G48" t="s">
        <v>60</v>
      </c>
      <c r="I48" s="24">
        <f>-residual</f>
        <v>-7000</v>
      </c>
    </row>
    <row r="49" spans="7:9" ht="12.75">
      <c r="G49" t="s">
        <v>61</v>
      </c>
      <c r="I49" s="17">
        <f>-Q21</f>
        <v>-10911.2</v>
      </c>
    </row>
    <row r="50" spans="7:9" ht="12.75">
      <c r="G50" t="s">
        <v>62</v>
      </c>
      <c r="I50" s="25">
        <f>SUM(I45:I49)</f>
        <v>23188.8</v>
      </c>
    </row>
    <row r="53" spans="4:9" ht="12.75">
      <c r="D53" s="2" t="str">
        <f>IF(conthire=1,"Contract","Lease")</f>
        <v>Lease</v>
      </c>
      <c r="G53" t="s">
        <v>64</v>
      </c>
      <c r="I53" s="17">
        <f>Q26+Q27</f>
        <v>19540</v>
      </c>
    </row>
    <row r="54" spans="7:9" ht="12.75">
      <c r="G54" t="s">
        <v>65</v>
      </c>
      <c r="I54" s="17">
        <f>SUM(G30:O30)</f>
        <v>1944</v>
      </c>
    </row>
    <row r="55" spans="7:9" ht="12.75">
      <c r="G55" t="s">
        <v>61</v>
      </c>
      <c r="I55" s="17">
        <f>-Q37</f>
        <v>-6054.8</v>
      </c>
    </row>
    <row r="56" spans="7:9" ht="12.75">
      <c r="G56" t="str">
        <f>IF(conthire=1,"","rebate of rentals")</f>
        <v>rebate of rentals</v>
      </c>
      <c r="I56" s="17">
        <f>Q31</f>
        <v>-210</v>
      </c>
    </row>
    <row r="57" spans="7:9" ht="12.75">
      <c r="G57" t="s">
        <v>62</v>
      </c>
      <c r="I57" s="25">
        <f>SUM(I53:I56)</f>
        <v>15219.2</v>
      </c>
    </row>
    <row r="59" spans="4:11" ht="12.75">
      <c r="D59" t="s">
        <v>66</v>
      </c>
      <c r="K59" t="str">
        <f>IF(I50&lt;I57,"BUY",IF(conthire=1,"CONTRACT HIRE","LEASE"))</f>
        <v>LEASE</v>
      </c>
    </row>
  </sheetData>
  <sheetProtection password="EEC4" sheet="1" objects="1" scenarios="1"/>
  <conditionalFormatting sqref="G39 Q39 O39">
    <cfRule type="cellIs" priority="1" dxfId="1" operator="greaterThan" stopIfTrue="1">
      <formula>0</formula>
    </cfRule>
  </conditionalFormatting>
  <conditionalFormatting sqref="M12 O12">
    <cfRule type="cellIs" priority="2" dxfId="10" operator="greaterThan" stopIfTrue="1">
      <formula>0</formula>
    </cfRule>
  </conditionalFormatting>
  <conditionalFormatting sqref="M33 O33 M17 O17">
    <cfRule type="cellIs" priority="3" dxfId="10" operator="notEqual" stopIfTrue="1">
      <formula>0</formula>
    </cfRule>
  </conditionalFormatting>
  <conditionalFormatting sqref="I39 K39 M39">
    <cfRule type="cellIs" priority="4" dxfId="1" operator="notEqual" stopIfTrue="1">
      <formula>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B1:IV45"/>
  <sheetViews>
    <sheetView showGridLines="0" zoomScalePageLayoutView="0" workbookViewId="0" topLeftCell="A4">
      <selection activeCell="I9" sqref="I9"/>
    </sheetView>
  </sheetViews>
  <sheetFormatPr defaultColWidth="9.140625" defaultRowHeight="12.75"/>
  <cols>
    <col min="4" max="4" width="12.57421875" style="0" customWidth="1"/>
    <col min="17" max="17" width="21.00390625" style="0" customWidth="1"/>
  </cols>
  <sheetData>
    <row r="1" spans="2:15" ht="12.75">
      <c r="B1" t="s">
        <v>3</v>
      </c>
      <c r="C1" s="47"/>
      <c r="D1" s="47"/>
      <c r="E1" s="48" t="s">
        <v>88</v>
      </c>
      <c r="F1" s="47" t="s">
        <v>89</v>
      </c>
      <c r="G1" s="47" t="s">
        <v>90</v>
      </c>
      <c r="H1" s="47" t="s">
        <v>91</v>
      </c>
      <c r="I1" s="47" t="s">
        <v>92</v>
      </c>
      <c r="O1" s="49"/>
    </row>
    <row r="2" spans="2:256" ht="12.75">
      <c r="B2" t="s">
        <v>14</v>
      </c>
      <c r="E2" s="46">
        <v>0.18</v>
      </c>
      <c r="F2" s="46">
        <v>0.18</v>
      </c>
      <c r="G2" s="46">
        <v>0.18</v>
      </c>
      <c r="H2" s="46">
        <v>0.18</v>
      </c>
      <c r="I2" s="46">
        <v>0.18</v>
      </c>
      <c r="IV2" s="46"/>
    </row>
    <row r="4" spans="2:14" ht="12.75">
      <c r="B4" t="s">
        <v>8</v>
      </c>
      <c r="F4" t="s">
        <v>17</v>
      </c>
      <c r="N4" s="49" t="s">
        <v>96</v>
      </c>
    </row>
    <row r="5" spans="5:17" ht="12.75">
      <c r="E5" t="s">
        <v>9</v>
      </c>
      <c r="F5" t="s">
        <v>10</v>
      </c>
      <c r="G5" t="s">
        <v>23</v>
      </c>
      <c r="I5" t="s">
        <v>10</v>
      </c>
      <c r="J5" t="s">
        <v>26</v>
      </c>
      <c r="K5" t="s">
        <v>26</v>
      </c>
      <c r="N5" s="46">
        <v>0.08</v>
      </c>
      <c r="Q5" t="s">
        <v>97</v>
      </c>
    </row>
    <row r="6" spans="5:18" ht="12.75">
      <c r="E6" t="s">
        <v>20</v>
      </c>
      <c r="F6" t="s">
        <v>21</v>
      </c>
      <c r="G6" t="s">
        <v>3</v>
      </c>
      <c r="I6" t="s">
        <v>20</v>
      </c>
      <c r="K6" t="s">
        <v>27</v>
      </c>
      <c r="N6" s="46">
        <v>0.18</v>
      </c>
      <c r="Q6" t="s">
        <v>98</v>
      </c>
      <c r="R6">
        <v>200000</v>
      </c>
    </row>
    <row r="7" spans="2:17" ht="12.75">
      <c r="B7" t="s">
        <v>6</v>
      </c>
      <c r="D7" t="s">
        <v>7</v>
      </c>
      <c r="E7">
        <f>cost</f>
        <v>40000</v>
      </c>
      <c r="F7">
        <f>cost</f>
        <v>40000</v>
      </c>
      <c r="G7">
        <f>cost</f>
        <v>40000</v>
      </c>
      <c r="I7">
        <f>cost</f>
        <v>40000</v>
      </c>
      <c r="J7">
        <f>cost</f>
        <v>40000</v>
      </c>
      <c r="K7">
        <f>cost</f>
        <v>40000</v>
      </c>
      <c r="Q7" t="s">
        <v>99</v>
      </c>
    </row>
    <row r="8" ht="12.75">
      <c r="Q8" t="s">
        <v>100</v>
      </c>
    </row>
    <row r="9" spans="4:11" ht="12.75">
      <c r="D9" t="s">
        <v>12</v>
      </c>
      <c r="E9">
        <f>IF(E7&gt;AIAlimit,AIAlimit+(E2*(E7-AIAlimit)),E7)</f>
        <v>40000</v>
      </c>
      <c r="F9">
        <f>IF(F7&gt;AIAlimit,AIAlimit+(F2*(F7-AIAlimit)),F7)</f>
        <v>40000</v>
      </c>
      <c r="G9">
        <f>IF(G7&gt;AIAlimit,AIAlimit+(G2*(G7-AIAlimit)),G7)</f>
        <v>40000</v>
      </c>
      <c r="I9">
        <f>ROUND(IF(fya100=1,cost,IF(co2over160=1,cost*Low_WDA_Rate,cost*High_WDA_Rates)),0)</f>
        <v>3200</v>
      </c>
      <c r="J9">
        <f>ROUND(IF(fya100=1,cost,IF(co2over160=1,cost*Low_WDA_Rate,cost*High_WDA_Rates)),0)</f>
        <v>3200</v>
      </c>
      <c r="K9">
        <f>ROUND(IF(fya100=1,cost,IF(co2over160=1,cost*Low_WDA_Rate,cost*High_WDA_Rates)),0)</f>
        <v>3200</v>
      </c>
    </row>
    <row r="11" spans="2:11" ht="12.75">
      <c r="B11" t="s">
        <v>13</v>
      </c>
      <c r="E11" s="2">
        <f>E7-E9</f>
        <v>0</v>
      </c>
      <c r="F11" s="2">
        <f>F7-F9</f>
        <v>0</v>
      </c>
      <c r="G11" s="2">
        <f>G7-G9</f>
        <v>0</v>
      </c>
      <c r="I11" s="2">
        <f>I7-I9</f>
        <v>36800</v>
      </c>
      <c r="J11" s="2">
        <f>J7-J9</f>
        <v>36800</v>
      </c>
      <c r="K11" s="2">
        <f>K7-K9</f>
        <v>36800</v>
      </c>
    </row>
    <row r="13" spans="4:11" ht="12.75">
      <c r="D13" t="s">
        <v>14</v>
      </c>
      <c r="E13">
        <f>ROUND(E11*F2,0)</f>
        <v>0</v>
      </c>
      <c r="F13">
        <f>ROUND(F11*F2,0)</f>
        <v>0</v>
      </c>
      <c r="G13">
        <f>ROUND(G11*F2,0)</f>
        <v>0</v>
      </c>
      <c r="I13">
        <f>ROUND(IF(co2over160=1,I11*Low_WDA_Rate,I11*High_WDA_Rates),0)</f>
        <v>2944</v>
      </c>
      <c r="J13">
        <f>ROUND(IF(co2over160=1,J11*Low_WDA_Rate,J11*High_WDA_Rates),0)</f>
        <v>2944</v>
      </c>
      <c r="K13">
        <f>ROUND(IF(co2over160=1,K11*Low_WDA_Rate,K11*High_WDA_Rates),0)</f>
        <v>2944</v>
      </c>
    </row>
    <row r="15" spans="2:11" ht="12.75">
      <c r="B15" t="s">
        <v>3</v>
      </c>
      <c r="D15" t="s">
        <v>3</v>
      </c>
      <c r="E15" s="2">
        <f>E11-E13</f>
        <v>0</v>
      </c>
      <c r="F15" s="2">
        <f>F11-F13</f>
        <v>0</v>
      </c>
      <c r="G15" s="2">
        <f>G11-G13</f>
        <v>0</v>
      </c>
      <c r="I15" s="2">
        <f>I11-I13</f>
        <v>33856</v>
      </c>
      <c r="J15" s="2">
        <f>J11-J13</f>
        <v>33856</v>
      </c>
      <c r="K15" s="2">
        <f>K11-K13</f>
        <v>33856</v>
      </c>
    </row>
    <row r="17" spans="2:11" ht="12.75">
      <c r="B17" t="s">
        <v>15</v>
      </c>
      <c r="D17" s="1" t="s">
        <v>18</v>
      </c>
      <c r="E17" s="1">
        <f>residual</f>
        <v>7000</v>
      </c>
      <c r="F17">
        <f>ROUND(F15*G2,0)</f>
        <v>0</v>
      </c>
      <c r="G17">
        <f>ROUND(G15*G2,0)</f>
        <v>0</v>
      </c>
      <c r="I17">
        <f>residual</f>
        <v>7000</v>
      </c>
      <c r="J17">
        <f>ROUND(IF(co2over160=1,J15*Low_WDA_Rate,J15*High_WDA_Rates),0)</f>
        <v>2708</v>
      </c>
      <c r="K17">
        <f>ROUND(IF(co2over160=1,K15*Low_WDA_Rate,K15*High_WDA_Rates),0)</f>
        <v>2708</v>
      </c>
    </row>
    <row r="19" spans="4:11" ht="12.75">
      <c r="D19" t="s">
        <v>3</v>
      </c>
      <c r="E19" t="s">
        <v>3</v>
      </c>
      <c r="F19" s="2">
        <f>F15-F17</f>
        <v>0</v>
      </c>
      <c r="G19" s="2">
        <f>G15-G17</f>
        <v>0</v>
      </c>
      <c r="J19" s="2">
        <f>J15-J17</f>
        <v>31148</v>
      </c>
      <c r="K19" s="2">
        <f>K15-K17</f>
        <v>31148</v>
      </c>
    </row>
    <row r="20" ht="12.75">
      <c r="F20" t="s">
        <v>3</v>
      </c>
    </row>
    <row r="21" spans="2:11" ht="12.75">
      <c r="B21" t="s">
        <v>22</v>
      </c>
      <c r="D21" t="s">
        <v>24</v>
      </c>
      <c r="F21">
        <f>residual</f>
        <v>7000</v>
      </c>
      <c r="G21">
        <f>ROUND(G19*H2,0)</f>
        <v>0</v>
      </c>
      <c r="J21">
        <f>residual</f>
        <v>7000</v>
      </c>
      <c r="K21">
        <f>ROUND(IF(co2over160=1,K19*Low_WDA_Rate,K19*High_WDA_Rates),0)</f>
        <v>2492</v>
      </c>
    </row>
    <row r="22" ht="12.75">
      <c r="D22" s="49" t="s">
        <v>3</v>
      </c>
    </row>
    <row r="23" spans="7:11" ht="12.75">
      <c r="G23" s="2">
        <f>G19-G21</f>
        <v>0</v>
      </c>
      <c r="K23" s="2">
        <f>K19-K21</f>
        <v>28656</v>
      </c>
    </row>
    <row r="25" spans="2:11" ht="12.75">
      <c r="B25" t="s">
        <v>25</v>
      </c>
      <c r="D25" t="s">
        <v>18</v>
      </c>
      <c r="G25">
        <f>residual</f>
        <v>7000</v>
      </c>
      <c r="K25">
        <f>residual</f>
        <v>7000</v>
      </c>
    </row>
    <row r="31" spans="4:13" ht="12.75">
      <c r="D31" t="s">
        <v>19</v>
      </c>
      <c r="E31">
        <f>E15-E17</f>
        <v>-7000</v>
      </c>
      <c r="F31">
        <f>F19-F21</f>
        <v>-7000</v>
      </c>
      <c r="G31">
        <f>G23-G25</f>
        <v>-7000</v>
      </c>
      <c r="I31">
        <f>ROUND(IF(pucar&gt;0,I15-I17,IF(co2over160=1,I15*10%,I15*20%)),0)</f>
        <v>26856</v>
      </c>
      <c r="J31">
        <f>ROUND(IF(pucar&gt;0,J19-J21,IF(co2over160=1,J19*10%,J19*20%)),0)</f>
        <v>24148</v>
      </c>
      <c r="K31">
        <f>ROUND(IF(pucar&gt;0,K23-K25,IF(co2over160=1,K23*10%,K23*20%)),0)</f>
        <v>21656</v>
      </c>
      <c r="M31">
        <f>IF(cost-12000&lt;0,0,(cost-12000)/cost)</f>
        <v>0.7</v>
      </c>
    </row>
    <row r="32" ht="12.75">
      <c r="M32">
        <f>50%*M31</f>
        <v>0.35</v>
      </c>
    </row>
    <row r="33" spans="10:19" ht="12.75">
      <c r="J33" t="s">
        <v>34</v>
      </c>
      <c r="M33" t="s">
        <v>35</v>
      </c>
      <c r="P33">
        <f>(Maintcosts/12)*noileasepayts</f>
        <v>0</v>
      </c>
      <c r="S33" t="s">
        <v>71</v>
      </c>
    </row>
    <row r="34" spans="6:19" ht="12.75">
      <c r="F34" t="s">
        <v>32</v>
      </c>
      <c r="H34" t="s">
        <v>33</v>
      </c>
      <c r="J34">
        <f>IF(vatreg=0,0,Vat_on_lease/2)</f>
        <v>54</v>
      </c>
      <c r="M34" s="15">
        <f>IF(co2over160=1,15%,0)</f>
        <v>0.15</v>
      </c>
      <c r="P34" t="s">
        <v>67</v>
      </c>
      <c r="R34" t="s">
        <v>72</v>
      </c>
      <c r="S34" s="15">
        <f>IF(co2over160=1,15%,0)</f>
        <v>0.15</v>
      </c>
    </row>
    <row r="35" spans="2:18" ht="12.75">
      <c r="B35" t="s">
        <v>3</v>
      </c>
      <c r="E35" t="s">
        <v>3</v>
      </c>
      <c r="F35">
        <f>hpint</f>
        <v>1000</v>
      </c>
      <c r="H35">
        <f>leasepayt*noileasepayts</f>
        <v>19440</v>
      </c>
      <c r="J35">
        <f>J34*J36</f>
        <v>1944</v>
      </c>
      <c r="P35">
        <f>P33</f>
        <v>0</v>
      </c>
      <c r="Q35" t="s">
        <v>68</v>
      </c>
      <c r="R35">
        <f>leasepayt*noileasepayts</f>
        <v>19440</v>
      </c>
    </row>
    <row r="36" spans="5:18" ht="12.75">
      <c r="E36" t="s">
        <v>3</v>
      </c>
      <c r="F36">
        <f>noileasepayts</f>
        <v>36</v>
      </c>
      <c r="H36">
        <f>noileasepayts</f>
        <v>36</v>
      </c>
      <c r="J36">
        <f>noileasepayts</f>
        <v>36</v>
      </c>
      <c r="M36">
        <f>noileasepayts</f>
        <v>36</v>
      </c>
      <c r="P36">
        <f>noileasepayts</f>
        <v>36</v>
      </c>
      <c r="R36">
        <f>noileasepayts</f>
        <v>36</v>
      </c>
    </row>
    <row r="37" spans="2:19" ht="12.75">
      <c r="B37" t="s">
        <v>28</v>
      </c>
      <c r="E37">
        <f>noyr1</f>
        <v>12</v>
      </c>
      <c r="F37">
        <f>ROUND((E37/$F$36)*$F$35,0)</f>
        <v>333</v>
      </c>
      <c r="H37">
        <f>ROUND(($E$37/$H$36)*$H$35,0)</f>
        <v>6480</v>
      </c>
      <c r="J37">
        <f>ROUND(($E37/$J$36)*$J$35,0)</f>
        <v>648</v>
      </c>
      <c r="M37">
        <f>ROUND(H37*$M$34,0)</f>
        <v>972</v>
      </c>
      <c r="P37">
        <f>ROUND(($E37/$J$36)*$P$35,0)</f>
        <v>0</v>
      </c>
      <c r="R37">
        <f>ROUND(($E$37/$R$36)*$R$35,0)</f>
        <v>6480</v>
      </c>
      <c r="S37">
        <f>ROUND((R37-P37)*$M$34,0)</f>
        <v>972</v>
      </c>
    </row>
    <row r="38" spans="2:19" ht="12.75">
      <c r="B38" t="s">
        <v>13</v>
      </c>
      <c r="E38">
        <v>12</v>
      </c>
      <c r="F38">
        <f>ROUND((E38/$F$36)*$F$35,0)</f>
        <v>333</v>
      </c>
      <c r="H38">
        <f>ROUND((E38/$H$36)*$H$35,0)</f>
        <v>6480</v>
      </c>
      <c r="J38">
        <f>ROUND(($E38/$J$36)*$J$35,0)</f>
        <v>648</v>
      </c>
      <c r="M38">
        <f>ROUND(H38*$M$34,0)</f>
        <v>972</v>
      </c>
      <c r="P38">
        <f>ROUND(($E38/$J$36)*$P$35,0)</f>
        <v>0</v>
      </c>
      <c r="R38">
        <f>ROUND(($E$38/$R$36)*$R$35,0)</f>
        <v>6480</v>
      </c>
      <c r="S38">
        <f>ROUND((R38-P38)*$M$34,0)</f>
        <v>972</v>
      </c>
    </row>
    <row r="39" spans="2:19" ht="12.75">
      <c r="B39" t="s">
        <v>15</v>
      </c>
      <c r="E39">
        <v>12</v>
      </c>
      <c r="F39">
        <f>ROUND((E39/$F$36)*$F$35,0)</f>
        <v>333</v>
      </c>
      <c r="H39">
        <f>ROUND((E39/$H$36)*$H$35,0)</f>
        <v>6480</v>
      </c>
      <c r="J39">
        <f>ROUND(($E39/$J$36)*$J$35,0)</f>
        <v>648</v>
      </c>
      <c r="M39">
        <f>ROUND(H39*$M$34,0)</f>
        <v>972</v>
      </c>
      <c r="P39">
        <f>ROUND(($E39/$J$36)*$P$35,0)</f>
        <v>0</v>
      </c>
      <c r="R39">
        <f>ROUND(($E$39/$R$36)*$R$35,0)</f>
        <v>6480</v>
      </c>
      <c r="S39">
        <f>ROUND((R39-P39)*$M$34,0)</f>
        <v>972</v>
      </c>
    </row>
    <row r="40" spans="2:19" ht="12.75">
      <c r="B40" t="s">
        <v>22</v>
      </c>
      <c r="E40">
        <f>IF(F36-SUM(E37:E39)&gt;12,12,(F36-SUM(E37:E39)))</f>
        <v>0</v>
      </c>
      <c r="F40">
        <f>ROUND((E40/$F$36)*$F$35,0)</f>
        <v>0</v>
      </c>
      <c r="H40">
        <f>ROUND((E40/$H$36)*$H$35,0)</f>
        <v>0</v>
      </c>
      <c r="J40">
        <f>ROUND(($E40/$J$36)*$J$35,0)</f>
        <v>0</v>
      </c>
      <c r="M40">
        <f>ROUND(H40*$M$34,0)</f>
        <v>0</v>
      </c>
      <c r="P40">
        <f>ROUND(($E40/$J$36)*$P$35,0)</f>
        <v>0</v>
      </c>
      <c r="R40">
        <f>ROUND(($E$40/$R$36)*$R$35,0)</f>
        <v>0</v>
      </c>
      <c r="S40">
        <f>ROUND((R40-P40)*$M$34,0)</f>
        <v>0</v>
      </c>
    </row>
    <row r="41" spans="2:19" ht="12.75">
      <c r="B41" t="s">
        <v>25</v>
      </c>
      <c r="E41">
        <f>F36-SUM(E37:E40)</f>
        <v>0</v>
      </c>
      <c r="F41">
        <f>ROUND((E41/$F$36)*$F$35,0)</f>
        <v>0</v>
      </c>
      <c r="H41">
        <f>ROUND((E41/$H$36)*$H$35,0)</f>
        <v>0</v>
      </c>
      <c r="J41">
        <f>ROUND(($E41/$J$36)*$J$35,0)</f>
        <v>0</v>
      </c>
      <c r="L41" t="s">
        <v>3</v>
      </c>
      <c r="M41">
        <f>ROUND(H41*$M$34,0)</f>
        <v>0</v>
      </c>
      <c r="P41">
        <f>ROUND(($E41/$J$36)*$P$35,0)</f>
        <v>0</v>
      </c>
      <c r="R41">
        <f>ROUND(($E$41/$R$36)*$R$35,0)</f>
        <v>0</v>
      </c>
      <c r="S41">
        <f>ROUND((R41-P41)*$M$34,0)</f>
        <v>0</v>
      </c>
    </row>
    <row r="43" spans="6:19" ht="12.75">
      <c r="F43">
        <f>SUM(F37:F42)</f>
        <v>999</v>
      </c>
      <c r="H43">
        <f>SUM(H37:H42)</f>
        <v>19440</v>
      </c>
      <c r="J43">
        <f>SUM(J37:J42)</f>
        <v>1944</v>
      </c>
      <c r="M43">
        <f>SUM(M37:M42)</f>
        <v>2916</v>
      </c>
      <c r="P43">
        <f>SUM(P37:P41)</f>
        <v>0</v>
      </c>
      <c r="R43">
        <f>SUM(R37:R42)</f>
        <v>19440</v>
      </c>
      <c r="S43">
        <f>SUM(S37:S42)</f>
        <v>2916</v>
      </c>
    </row>
    <row r="45" ht="12.75">
      <c r="M45">
        <f>H43*M34</f>
        <v>2916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5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2" max="3" width="0" style="0" hidden="1" customWidth="1"/>
    <col min="7" max="7" width="12.7109375" style="0" customWidth="1"/>
    <col min="8" max="8" width="3.421875" style="0" customWidth="1"/>
    <col min="9" max="9" width="12.7109375" style="0" customWidth="1"/>
    <col min="10" max="10" width="2.57421875" style="0" customWidth="1"/>
    <col min="11" max="11" width="12.7109375" style="0" customWidth="1"/>
    <col min="12" max="12" width="3.00390625" style="0" customWidth="1"/>
    <col min="13" max="13" width="12.7109375" style="0" customWidth="1"/>
    <col min="14" max="14" width="3.57421875" style="0" customWidth="1"/>
    <col min="15" max="15" width="12.7109375" style="0" customWidth="1"/>
    <col min="16" max="16" width="2.421875" style="0" customWidth="1"/>
    <col min="17" max="17" width="12.7109375" style="0" customWidth="1"/>
  </cols>
  <sheetData>
    <row r="2" ht="12.75">
      <c r="F2" t="s">
        <v>3</v>
      </c>
    </row>
    <row r="3" ht="12.75" hidden="1"/>
    <row r="4" ht="12.75" hidden="1"/>
    <row r="5" spans="7:17" ht="12.75">
      <c r="G5" s="16" t="s">
        <v>6</v>
      </c>
      <c r="H5" s="16"/>
      <c r="I5" s="16" t="s">
        <v>13</v>
      </c>
      <c r="J5" s="16"/>
      <c r="K5" s="16" t="s">
        <v>15</v>
      </c>
      <c r="L5" s="16"/>
      <c r="M5" s="16">
        <f>IF(noyr4&gt;0,"Year 4","")</f>
      </c>
      <c r="N5" s="16"/>
      <c r="O5" s="16">
        <f>IF(noyr5&gt;0,"Year 5","")</f>
      </c>
      <c r="Q5" t="s">
        <v>3</v>
      </c>
    </row>
    <row r="6" spans="4:10" ht="12.75">
      <c r="D6" t="s">
        <v>3</v>
      </c>
      <c r="J6" t="s">
        <v>3</v>
      </c>
    </row>
    <row r="8" spans="4:9" ht="12.75">
      <c r="D8" s="2" t="s">
        <v>37</v>
      </c>
      <c r="E8" t="s">
        <v>3</v>
      </c>
      <c r="G8" t="s">
        <v>3</v>
      </c>
      <c r="I8" t="s">
        <v>3</v>
      </c>
    </row>
    <row r="10" spans="2:15" ht="12.75">
      <c r="B10" t="s">
        <v>3</v>
      </c>
      <c r="D10" t="s">
        <v>29</v>
      </c>
      <c r="G10">
        <f>yr1casnoncar</f>
        <v>40000</v>
      </c>
      <c r="I10">
        <f>yr2casnoncar</f>
        <v>0</v>
      </c>
      <c r="K10">
        <f>IF(noyr4&gt;0,yr3casnoncar,banoncar1)</f>
        <v>-7000</v>
      </c>
      <c r="M10">
        <f>IF(noyr4=0,0,IF(noyr5&gt;0,yr4casnoncar,banoncar2))</f>
        <v>0</v>
      </c>
      <c r="O10">
        <f>IF(noyr5&gt;0,banoncar3,0)</f>
        <v>0</v>
      </c>
    </row>
    <row r="11" spans="4:15" ht="12.75">
      <c r="D11" t="str">
        <f>IF(hpintyr1&gt;0,"HP Interest","")</f>
        <v>HP Interest</v>
      </c>
      <c r="G11">
        <f>hpintyr1</f>
        <v>333</v>
      </c>
      <c r="I11">
        <f>hpintyr2</f>
        <v>333</v>
      </c>
      <c r="K11">
        <f>hpintyr3</f>
        <v>333</v>
      </c>
      <c r="M11">
        <f>hpintyr4</f>
        <v>0</v>
      </c>
      <c r="O11">
        <f>hpintyr5</f>
        <v>0</v>
      </c>
    </row>
    <row r="12" spans="4:15" ht="12.75">
      <c r="D12" t="s">
        <v>77</v>
      </c>
      <c r="K12">
        <f>IF(noyr4&gt;0,0,hpcosts)</f>
        <v>100</v>
      </c>
      <c r="M12">
        <f>IF(noyr4=0,0,IF(noyr5&gt;0,0,hpcosts))</f>
        <v>0</v>
      </c>
      <c r="O12">
        <f>IF(noyr5&gt;0,hpcosts,0)</f>
        <v>0</v>
      </c>
    </row>
    <row r="13" spans="4:15" ht="12.75">
      <c r="D13" t="s">
        <v>30</v>
      </c>
      <c r="G13" s="18">
        <f>SUM(G10:G12)</f>
        <v>40333</v>
      </c>
      <c r="H13" t="s">
        <v>3</v>
      </c>
      <c r="I13" s="18">
        <f>SUM(I10:I12)</f>
        <v>333</v>
      </c>
      <c r="J13" t="s">
        <v>3</v>
      </c>
      <c r="K13" s="18">
        <f>SUM(K10:K12)</f>
        <v>-6567</v>
      </c>
      <c r="M13" s="21">
        <f>SUM(M10:M12)</f>
        <v>0</v>
      </c>
      <c r="O13">
        <f>SUM(O10:O12)</f>
        <v>0</v>
      </c>
    </row>
    <row r="15" spans="4:15" ht="12.75">
      <c r="D15" t="s">
        <v>31</v>
      </c>
      <c r="G15" s="20">
        <f>itrate</f>
        <v>0.4</v>
      </c>
      <c r="H15" s="2"/>
      <c r="I15" s="20">
        <f>itrate</f>
        <v>0.4</v>
      </c>
      <c r="J15" s="2"/>
      <c r="K15" s="20">
        <f>itrate</f>
        <v>0.4</v>
      </c>
      <c r="L15" s="2"/>
      <c r="M15" s="20">
        <f>IF(noyr4&gt;0,itrate,"")</f>
      </c>
      <c r="N15" s="2"/>
      <c r="O15" s="20">
        <f>IF(noyr5&gt;0,itrate,"")</f>
      </c>
    </row>
    <row r="16" ht="12.75">
      <c r="Q16" s="16" t="s">
        <v>45</v>
      </c>
    </row>
    <row r="17" spans="4:17" ht="12.75">
      <c r="D17" s="2" t="s">
        <v>36</v>
      </c>
      <c r="E17" s="2"/>
      <c r="F17" s="2" t="s">
        <v>41</v>
      </c>
      <c r="G17" s="17">
        <f>G13*G15</f>
        <v>16133.2</v>
      </c>
      <c r="H17" s="2"/>
      <c r="I17" s="17">
        <f>I13*I15</f>
        <v>133.20000000000002</v>
      </c>
      <c r="J17" s="2"/>
      <c r="K17" s="17">
        <f>K13*K15</f>
        <v>-2626.8</v>
      </c>
      <c r="L17" s="2"/>
      <c r="M17" s="17">
        <f>IF(noyr4&gt;0,M13*M15,0)</f>
        <v>0</v>
      </c>
      <c r="O17" s="17">
        <f>IF(noyr5&gt;0,O13*O15,"")</f>
      </c>
      <c r="Q17" s="17">
        <f>SUM(G17:P17)</f>
        <v>13639.600000000002</v>
      </c>
    </row>
    <row r="20" spans="2:4" ht="12.75">
      <c r="B20" t="s">
        <v>3</v>
      </c>
      <c r="D20" s="2" t="s">
        <v>38</v>
      </c>
    </row>
    <row r="21" ht="12.75">
      <c r="F21" s="15"/>
    </row>
    <row r="22" spans="4:17" ht="12.75">
      <c r="D22" t="s">
        <v>39</v>
      </c>
      <c r="F22" s="15"/>
      <c r="G22">
        <f>workings!$H$37</f>
        <v>6480</v>
      </c>
      <c r="I22">
        <f>workings!$H$38</f>
        <v>6480</v>
      </c>
      <c r="K22">
        <f>workings!$H$39</f>
        <v>6480</v>
      </c>
      <c r="M22">
        <f>workings!$H$40</f>
        <v>0</v>
      </c>
      <c r="O22">
        <f>workings!$H$41</f>
        <v>0</v>
      </c>
      <c r="Q22" s="17">
        <f>SUM(G22:O22)</f>
        <v>19440</v>
      </c>
    </row>
    <row r="23" spans="4:17" ht="12.75">
      <c r="D23" t="s">
        <v>73</v>
      </c>
      <c r="G23">
        <f>contcosts</f>
        <v>100</v>
      </c>
      <c r="Q23" s="17">
        <f>SUM(G23:O23)</f>
        <v>100</v>
      </c>
    </row>
    <row r="24" spans="4:17" ht="12.75">
      <c r="D24" t="str">
        <f>IF(conthire=1,"","Lease rebate of rentals")</f>
        <v>Lease rebate of rentals</v>
      </c>
      <c r="G24" t="s">
        <v>3</v>
      </c>
      <c r="I24" t="s">
        <v>3</v>
      </c>
      <c r="K24">
        <f>IF(noyr4&gt;0,0,-rebate*residual)</f>
        <v>-210</v>
      </c>
      <c r="M24">
        <f>IF(noyr4=0,0,IF(noyr5&gt;0,0,-rebate*residual))</f>
        <v>0</v>
      </c>
      <c r="O24">
        <f>IF(noyr5&gt;0,-rebate*residual,0)</f>
        <v>0</v>
      </c>
      <c r="Q24" s="17">
        <f>SUM(G24:P24)</f>
        <v>-210</v>
      </c>
    </row>
    <row r="25" spans="4:15" ht="12.75">
      <c r="D25" t="s">
        <v>40</v>
      </c>
      <c r="G25" s="22">
        <f>SUM(G22:G24)</f>
        <v>6580</v>
      </c>
      <c r="H25" s="19" t="s">
        <v>3</v>
      </c>
      <c r="I25" s="22">
        <f>SUM(I22:I24)</f>
        <v>6480</v>
      </c>
      <c r="J25" s="19" t="s">
        <v>3</v>
      </c>
      <c r="K25" s="22">
        <f>SUM(K22:K24)</f>
        <v>6270</v>
      </c>
      <c r="L25" s="19" t="s">
        <v>3</v>
      </c>
      <c r="M25" s="19">
        <f>SUM(M22:M24)</f>
        <v>0</v>
      </c>
      <c r="N25" s="19" t="s">
        <v>3</v>
      </c>
      <c r="O25" s="19">
        <f>SUM(O22:O23)</f>
        <v>0</v>
      </c>
    </row>
    <row r="27" spans="4:16" ht="12.75">
      <c r="D27" s="2" t="s">
        <v>31</v>
      </c>
      <c r="E27" s="2"/>
      <c r="F27" s="2"/>
      <c r="G27" s="20">
        <f>itrate</f>
        <v>0.4</v>
      </c>
      <c r="H27" s="2"/>
      <c r="I27" s="20">
        <f>itrate</f>
        <v>0.4</v>
      </c>
      <c r="J27" s="2"/>
      <c r="K27" s="20">
        <f>itrate</f>
        <v>0.4</v>
      </c>
      <c r="L27" s="2"/>
      <c r="M27" s="20">
        <f>IF(noyr4&gt;0,itrate,0)</f>
        <v>0</v>
      </c>
      <c r="N27" s="2"/>
      <c r="O27" s="20">
        <f>IF(noyr5&gt;0,itrate,"")</f>
      </c>
      <c r="P27" s="2"/>
    </row>
    <row r="28" ht="12.75">
      <c r="Q28" s="16" t="s">
        <v>45</v>
      </c>
    </row>
    <row r="29" spans="2:17" ht="12.75">
      <c r="B29" t="s">
        <v>3</v>
      </c>
      <c r="D29" s="2" t="s">
        <v>36</v>
      </c>
      <c r="E29" s="2"/>
      <c r="F29" s="2" t="s">
        <v>42</v>
      </c>
      <c r="G29" s="17">
        <f>G25*G27</f>
        <v>2632</v>
      </c>
      <c r="H29" s="2"/>
      <c r="I29" s="17">
        <f>I25*I27</f>
        <v>2592</v>
      </c>
      <c r="J29" s="2"/>
      <c r="K29" s="17">
        <f>K25*K27</f>
        <v>2508</v>
      </c>
      <c r="L29" s="2"/>
      <c r="M29" s="17">
        <f>M25*M27</f>
        <v>0</v>
      </c>
      <c r="O29" s="17">
        <f>IF(noyr5&gt;0,O25*O27,"")</f>
      </c>
      <c r="Q29" s="17">
        <f>SUM(G29:P29)</f>
        <v>7732</v>
      </c>
    </row>
    <row r="30" ht="12.75">
      <c r="F30" s="15"/>
    </row>
    <row r="31" spans="4:17" ht="12.75">
      <c r="D31" t="s">
        <v>44</v>
      </c>
      <c r="F31" s="20" t="s">
        <v>43</v>
      </c>
      <c r="G31" s="17">
        <f>G17-G29</f>
        <v>13501.2</v>
      </c>
      <c r="H31" s="2"/>
      <c r="I31" s="17">
        <f>I17-I29</f>
        <v>-2458.8</v>
      </c>
      <c r="J31" s="2"/>
      <c r="K31" s="17">
        <f>K17-K29</f>
        <v>-5134.8</v>
      </c>
      <c r="L31" s="2"/>
      <c r="M31" s="17">
        <f>M17-M29</f>
        <v>0</v>
      </c>
      <c r="O31" s="17">
        <f>IF(noyr5&gt;0,O17-O29,0)</f>
        <v>0</v>
      </c>
      <c r="Q31" s="17">
        <f>SUM(G31:P31)</f>
        <v>5907.600000000001</v>
      </c>
    </row>
    <row r="33" ht="12.75">
      <c r="D33" s="2"/>
    </row>
    <row r="36" ht="12.75">
      <c r="G36" s="15"/>
    </row>
    <row r="37" spans="4:7" ht="12.75">
      <c r="D37" s="2" t="s">
        <v>58</v>
      </c>
      <c r="G37" s="15"/>
    </row>
    <row r="38" spans="4:9" ht="12.75">
      <c r="D38" s="2" t="s">
        <v>37</v>
      </c>
      <c r="G38" t="s">
        <v>1</v>
      </c>
      <c r="H38" t="s">
        <v>3</v>
      </c>
      <c r="I38" s="17">
        <f>cost</f>
        <v>40000</v>
      </c>
    </row>
    <row r="39" spans="7:9" ht="12.75">
      <c r="G39" s="7" t="s">
        <v>59</v>
      </c>
      <c r="I39" s="17">
        <f>hpint</f>
        <v>1000</v>
      </c>
    </row>
    <row r="40" spans="7:9" ht="12.75">
      <c r="G40" t="s">
        <v>60</v>
      </c>
      <c r="I40" s="24">
        <f>-residual</f>
        <v>-7000</v>
      </c>
    </row>
    <row r="41" spans="7:9" ht="12.75">
      <c r="G41" t="s">
        <v>61</v>
      </c>
      <c r="I41" s="17">
        <f>-Q17</f>
        <v>-13639.600000000002</v>
      </c>
    </row>
    <row r="42" spans="7:9" ht="12.75">
      <c r="G42" t="s">
        <v>62</v>
      </c>
      <c r="I42" s="25">
        <f>SUM(I38:I41)</f>
        <v>20360.399999999998</v>
      </c>
    </row>
    <row r="45" spans="4:9" ht="12.75">
      <c r="D45" s="2" t="str">
        <f>IF(conthire=1,"Contract","Lease")</f>
        <v>Lease</v>
      </c>
      <c r="G45" t="s">
        <v>64</v>
      </c>
      <c r="I45" s="17">
        <f>SUM(G22:O22)+Q23</f>
        <v>19540</v>
      </c>
    </row>
    <row r="46" spans="7:9" ht="12.75">
      <c r="G46" t="s">
        <v>3</v>
      </c>
      <c r="I46" s="17" t="s">
        <v>3</v>
      </c>
    </row>
    <row r="47" spans="7:9" ht="12.75">
      <c r="G47" t="s">
        <v>61</v>
      </c>
      <c r="I47" s="17">
        <f>-Q29</f>
        <v>-7732</v>
      </c>
    </row>
    <row r="48" spans="7:9" ht="12.75">
      <c r="G48" t="str">
        <f>IF(conthire=1,"","rebate of rentals")</f>
        <v>rebate of rentals</v>
      </c>
      <c r="I48" s="17">
        <f>Q24</f>
        <v>-210</v>
      </c>
    </row>
    <row r="49" spans="7:9" ht="12.75">
      <c r="G49" t="s">
        <v>62</v>
      </c>
      <c r="I49" s="25">
        <f>SUM(I45:I48)</f>
        <v>11598</v>
      </c>
    </row>
    <row r="51" spans="4:11" ht="12.75">
      <c r="D51" t="s">
        <v>66</v>
      </c>
      <c r="K51" t="str">
        <f>IF(I42&lt;I49,"BUY","LEASE")</f>
        <v>LEASE</v>
      </c>
    </row>
  </sheetData>
  <sheetProtection password="EEC4" sheet="1" objects="1" scenarios="1"/>
  <conditionalFormatting sqref="Q31">
    <cfRule type="cellIs" priority="1" dxfId="1" operator="greaterThan" stopIfTrue="1">
      <formula>0</formula>
    </cfRule>
  </conditionalFormatting>
  <conditionalFormatting sqref="G31 I31 K31 M31 O31">
    <cfRule type="cellIs" priority="2" dxfId="1" operator="notEqual" stopIfTrue="1">
      <formula>0</formula>
    </cfRule>
  </conditionalFormatting>
  <conditionalFormatting sqref="M13 O13 M25 O25">
    <cfRule type="cellIs" priority="3" dxfId="10" operator="notEqual" stopIfTrue="1">
      <formula>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Bird</dc:creator>
  <cp:keywords/>
  <dc:description/>
  <cp:lastModifiedBy>Steve Bird</cp:lastModifiedBy>
  <cp:lastPrinted>2009-03-24T10:16:31Z</cp:lastPrinted>
  <dcterms:created xsi:type="dcterms:W3CDTF">2005-01-13T08:31:10Z</dcterms:created>
  <dcterms:modified xsi:type="dcterms:W3CDTF">2019-07-09T10:01:02Z</dcterms:modified>
  <cp:category/>
  <cp:version/>
  <cp:contentType/>
  <cp:contentStatus/>
</cp:coreProperties>
</file>