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25200" windowHeight="13860" activeTab="0"/>
  </bookViews>
  <sheets>
    <sheet name="Front" sheetId="1" r:id="rId1"/>
    <sheet name="New" sheetId="2" state="hidden" r:id="rId2"/>
    <sheet name="Input" sheetId="3" r:id="rId3"/>
    <sheet name="PYComp" sheetId="4" state="hidden" r:id="rId4"/>
    <sheet name="Savings" sheetId="5" r:id="rId5"/>
    <sheet name="Summary" sheetId="6" r:id="rId6"/>
    <sheet name="Goodwill" sheetId="7" r:id="rId7"/>
    <sheet name="calcs" sheetId="8" state="hidden" r:id="rId8"/>
    <sheet name="grossup" sheetId="9" state="hidden" r:id="rId9"/>
    <sheet name="Calculations" sheetId="10" r:id="rId10"/>
    <sheet name="variables" sheetId="11" state="hidden" r:id="rId11"/>
  </sheets>
  <externalReferences>
    <externalReference r:id="rId14"/>
  </externalReferences>
  <definedNames>
    <definedName name="Addbacks">'Input'!$H$9</definedName>
    <definedName name="addl2004tax">'Summary'!$L$19</definedName>
    <definedName name="addlctax">'Calculations'!$F$159</definedName>
    <definedName name="addltaxondivs">'Calculations'!$F$39</definedName>
    <definedName name="addltaxondivs2">'Calculations'!$I$40</definedName>
    <definedName name="asscos">'Calculations'!$M$45</definedName>
    <definedName name="assessablecombinedroute">'Calculations'!$F$155</definedName>
    <definedName name="assessablescenario2">'Calculations'!$F$225</definedName>
    <definedName name="band1pa">'variables'!$F$34</definedName>
    <definedName name="basicrate">'variables'!$F$16</definedName>
    <definedName name="basicrateband">'variables'!$F$6</definedName>
    <definedName name="basictax">'calcs'!$D$15</definedName>
    <definedName name="brateextension">'Calculations'!$U$2</definedName>
    <definedName name="cgtexempt">'variables'!$F$96</definedName>
    <definedName name="ChargeableIT">'Calculations'!$F$8</definedName>
    <definedName name="chargeableItSalaryRoute">'Calculations'!$F$99</definedName>
    <definedName name="chargeablescenario2">'Calculations'!$F$203</definedName>
    <definedName name="chargeablescenario22">'Calculations'!$H$203</definedName>
    <definedName name="chargeabletoctcombined">'Calculations'!$F$148</definedName>
    <definedName name="chargeabletotaxdivroute">'Calculations'!$F$30</definedName>
    <definedName name="chargeabletotaxsalcombined">'Calculations'!$F$133</definedName>
    <definedName name="choosehigherrate">'Calculations'!$L$4</definedName>
    <definedName name="choosehigherratediv">'Calculations'!$K$4</definedName>
    <definedName name="chooseyear">'Input'!$U$2</definedName>
    <definedName name="Class2Ni">'variables'!$F$74</definedName>
    <definedName name="class4nilower">'variables'!$F$69</definedName>
    <definedName name="class4nirate1">'variables'!$B$76</definedName>
    <definedName name="class4nirate2">'variables'!$C$76</definedName>
    <definedName name="class4niupper">'variables'!$F$71</definedName>
    <definedName name="cliname">'Front'!$D$9</definedName>
    <definedName name="ctaxcombined">'Calculations'!$F$158</definedName>
    <definedName name="ctaxdivroute">'Calculations'!$F$52</definedName>
    <definedName name="ctaxmainrate">'Calculations'!$R$24</definedName>
    <definedName name="ctaxpayablesalaryroute">'Calculations'!$F$83</definedName>
    <definedName name="ctaxprofdiv">'Calculations'!$F$23</definedName>
    <definedName name="ctaxprofit">'Input'!$F$16</definedName>
    <definedName name="ctaxrate">'Input'!$F$18</definedName>
    <definedName name="ctaxsalaryroute">'Calculations'!$F$82</definedName>
    <definedName name="ctbandlower">'Calculations'!$R$61</definedName>
    <definedName name="ctbandupper">'Calculations'!$R$64</definedName>
    <definedName name="CTCallowance">'Input'!$F$10</definedName>
    <definedName name="ctnetoflower">'Calculations'!$F$50</definedName>
    <definedName name="ctpayscenario2">'Calculations'!$F$228</definedName>
    <definedName name="ctrate3">'Calculations'!$L$47</definedName>
    <definedName name="ctrateupper">'Calculations'!$L$49</definedName>
    <definedName name="dividendpayable">'Summary'!$I$25</definedName>
    <definedName name="dividendrate">'Calculations'!$B$34</definedName>
    <definedName name="divliabletotaxcombined">'Calculations'!$F$174</definedName>
    <definedName name="divpayablecombined">'Summary'!$L$25</definedName>
    <definedName name="divroutenet">'Summary'!$I$37</definedName>
    <definedName name="divsalary">'Input'!$F$30</definedName>
    <definedName name="divscenario2">#REF!</definedName>
    <definedName name="divtax">'Calculations'!$S$3</definedName>
    <definedName name="divtaxfree">'variables'!$F$104</definedName>
    <definedName name="DivTaxhr1">'variables'!$F$83</definedName>
    <definedName name="divtaxhr2">'variables'!$F$85</definedName>
    <definedName name="eesnionsalcombined">'Calculations'!$F$143</definedName>
    <definedName name="eesnipayablesalroute">'Calculations'!$F$111</definedName>
    <definedName name="eesnirate">'variables'!$F$53</definedName>
    <definedName name="eesniscenario2">'Calculations'!$F$213</definedName>
    <definedName name="eesrate1">'variables'!$B$53</definedName>
    <definedName name="eesrate2">'variables'!$C$53</definedName>
    <definedName name="Empallce">'variables'!$F$57</definedName>
    <definedName name="ErsAllceinput">'Input'!$G$55</definedName>
    <definedName name="ersnionsalcombined">'Calculations'!$F$125</definedName>
    <definedName name="ersnipayable">'Calculations'!$F$91</definedName>
    <definedName name="ersnirate">'variables'!$F$63</definedName>
    <definedName name="ersnirate1">'Calculations'!$J$65</definedName>
    <definedName name="ersnirate2">'Calculations'!$K$65</definedName>
    <definedName name="ersniscenario2">'Calculations'!$F$196</definedName>
    <definedName name="excessnipercentrate">'Calculations'!$O$18</definedName>
    <definedName name="excessovernimax">'Calculations'!$O$17</definedName>
    <definedName name="exemptni">'Input'!$U$7</definedName>
    <definedName name="finaltaxcombined">'Calculations'!$F$181</definedName>
    <definedName name="fullcosrate">'variables'!$F$91</definedName>
    <definedName name="goodwilldeductible">'Goodwill'!$P$47</definedName>
    <definedName name="goodwillperpartner">'Goodwill'!$G$43</definedName>
    <definedName name="goodwillprofitdeduction">'Goodwill'!$G$41</definedName>
    <definedName name="gross1">'grossup'!$R$19</definedName>
    <definedName name="grosscombined">'Calculations'!$J$191</definedName>
    <definedName name="grosscombined1">'Calculations'!$J$191</definedName>
    <definedName name="grosscombined2">'Calculations'!$K$191</definedName>
    <definedName name="grossdirs">'Calculations'!$F$95</definedName>
    <definedName name="grossdiv">'calcs'!$G$34</definedName>
    <definedName name="grossdivmain">'Calculations'!$E$165</definedName>
    <definedName name="grossedupprofit">'grossup'!$I$16</definedName>
    <definedName name="grossedupprofit2">'grossup'!$N$36</definedName>
    <definedName name="grosseduptax">'grossup'!$I$14</definedName>
    <definedName name="higherratepercent">'variables'!$F$12</definedName>
    <definedName name="higherratepercentage">'variables'!$F$18</definedName>
    <definedName name="higherratepercentage2">'variables'!$F$20</definedName>
    <definedName name="highertax">'calcs'!$D$17</definedName>
    <definedName name="highertaxdivs">'calcs'!$D$54</definedName>
    <definedName name="HRateDivPercent">'Calculations'!$L$21</definedName>
    <definedName name="hrateon">'Input'!$U$8</definedName>
    <definedName name="HRatepercent">'Input'!$Y$2</definedName>
    <definedName name="hrtaxband2">'variables'!$F$10</definedName>
    <definedName name="itaxpayablesalroute">'Calculations'!$F$105</definedName>
    <definedName name="itaxpayablesalroute2">'Calculations'!$I$105</definedName>
    <definedName name="itscenario2">'Calculations'!$F$209</definedName>
    <definedName name="itscenario22">'Calculations'!$I$209</definedName>
    <definedName name="lelni">'variables'!$F$47</definedName>
    <definedName name="lelniers">'variables'!$F$60</definedName>
    <definedName name="liabletoct2">'Calculations'!$F$81</definedName>
    <definedName name="liabletoctcombined">'Summary'!$L$14</definedName>
    <definedName name="liabletoctscenario2">#REF!</definedName>
    <definedName name="lowerctband">'Calculations'!$F$48</definedName>
    <definedName name="lowerctbandrate">'Calculations'!$L$45</definedName>
    <definedName name="lowermarginalband">'Calculations'!$H$48</definedName>
    <definedName name="lowertax">'calcs'!$D$13</definedName>
    <definedName name="margfrac1">'Calculations'!$U$52</definedName>
    <definedName name="margfrac2">'Calculations'!$U$53</definedName>
    <definedName name="marginalcosrate">'variables'!$F$90</definedName>
    <definedName name="marginalctrate">'Calculations'!$L$46</definedName>
    <definedName name="marginalfraction">'variables'!$F$93</definedName>
    <definedName name="marginallower">'Calculations'!$R$1</definedName>
    <definedName name="MAXCALC" localSheetId="6">'Goodwill'!$N$5</definedName>
    <definedName name="MAXCALC">'Savings'!$N$5</definedName>
    <definedName name="netavailableforsalary">'Calculations'!$F$85</definedName>
    <definedName name="netavailableforsalary2">'Calculations'!$E$85</definedName>
    <definedName name="netctaxdivroute">'Calculations'!$F$53</definedName>
    <definedName name="netdiv1">'Calculations'!$F$55</definedName>
    <definedName name="nettaxsalaryroute">'Calculations'!$F$53</definedName>
    <definedName name="NewBrDiv">'variables'!$F$100</definedName>
    <definedName name="newctcalc">'grossup'!$N$38</definedName>
    <definedName name="NewDivRate1">'variables'!$F$101</definedName>
    <definedName name="NewDivRate2">'variables'!$F$102</definedName>
    <definedName name="NIAddlRate">'variables'!$F$78</definedName>
    <definedName name="nicable">'Calculations'!$F$89</definedName>
    <definedName name="nicable1">'Calculations'!$J$89</definedName>
    <definedName name="nicable2">'Calculations'!$K$89</definedName>
    <definedName name="nicablecombined">'Calculations'!$F$194</definedName>
    <definedName name="nicablemain">'Calculations'!$F$119</definedName>
    <definedName name="nicexemption">'Input'!$U$58</definedName>
    <definedName name="nilower">'Calculations'!$R$37</definedName>
    <definedName name="nimonths">'Input'!$Q$58</definedName>
    <definedName name="numberofparts">'Input'!$F$7</definedName>
    <definedName name="oneoverersnirate">'Calculations'!$F$65</definedName>
    <definedName name="oneoverersnirate2">'Calculations'!$L$65</definedName>
    <definedName name="overallassessabletoctcombined">'Calculations'!$F$150</definedName>
    <definedName name="overallassessabletoctcombinedscenario2">'Calculations'!$F$220</definedName>
    <definedName name="overallctprofit">'Calculations'!$F$46</definedName>
    <definedName name="padiv">'Calculations'!$X$17</definedName>
    <definedName name="pasal">'Calculations'!$W$17</definedName>
    <definedName name="pasole">'Calculations'!$V$17</definedName>
    <definedName name="pensioncont">'Input'!$F$13</definedName>
    <definedName name="period">'[1]input'!$N$7</definedName>
    <definedName name="periodspa">'variables'!$G$2</definedName>
    <definedName name="PersAllceRestrict">'Input'!$S$11</definedName>
    <definedName name="persallowance">'variables'!$F$24</definedName>
    <definedName name="_xlnm.Print_Area" localSheetId="7">'calcs'!$A$4:$W$87</definedName>
    <definedName name="_xlnm.Print_Area" localSheetId="6">'Goodwill'!$A$7:$I$33</definedName>
    <definedName name="_xlnm.Print_Area" localSheetId="8">'grossup'!$A$26:$F$52</definedName>
    <definedName name="_xlnm.Print_Area" localSheetId="2">'Input'!$A$3:$Q$70</definedName>
    <definedName name="_xlnm.Print_Area" localSheetId="4">'Savings'!$A$7:$I$31</definedName>
    <definedName name="_xlnm.Print_Area" localSheetId="5">'Summary'!$A$6:$L$54</definedName>
    <definedName name="profit">'Input'!$F$9</definedName>
    <definedName name="profit2">'Summary'!$D$10</definedName>
    <definedName name="retainedctprofit">'Calculations'!$I$79</definedName>
    <definedName name="retainedprofitinco">'Input'!$F$39</definedName>
    <definedName name="RetainedProfitInCoPerDirector">'Input'!$K$41</definedName>
    <definedName name="retannuity">'Input'!$F$11</definedName>
    <definedName name="salaryandersni">'Calculations'!$F$92</definedName>
    <definedName name="salcenario2">'Calculations'!$F$190</definedName>
    <definedName name="salcombined">'Input'!$F$47</definedName>
    <definedName name="saldivnet">'Summary'!$L$37</definedName>
    <definedName name="saldivpa">'Calculations'!$Y$17</definedName>
    <definedName name="salliableat40percentcombined">'Calculations'!$D$139</definedName>
    <definedName name="salscenario2">#REF!</definedName>
    <definedName name="seclass4ni">'Calculations'!$F$18</definedName>
    <definedName name="setax">'Calculations'!$F$14</definedName>
    <definedName name="setax1">'Calculations'!$I$14</definedName>
    <definedName name="smallcosrate">'variables'!$F$89</definedName>
    <definedName name="supsole">'Input'!$U$6</definedName>
    <definedName name="TaxableFromSalaryCombined">'Calculations'!$F$166</definedName>
    <definedName name="taxband1">'variables'!$G$6</definedName>
    <definedName name="taxbik">'Input'!$H$11</definedName>
    <definedName name="taxfreedirsloan">'Goodwill'!$G$45</definedName>
    <definedName name="taxonsalcombined">'Calculations'!$F$139</definedName>
    <definedName name="taxonsalcombined2">'Calculations'!$G$139</definedName>
    <definedName name="taxpayablecombined2">'Calculations'!$I$183</definedName>
    <definedName name="taxyear">'Front'!$D$12</definedName>
    <definedName name="tenpercentband">'Calculations'!$R$11</definedName>
    <definedName name="tenpercentrate">'Calculations'!$R$5</definedName>
    <definedName name="test10percent">'Calculations'!$M$10</definedName>
    <definedName name="test22percent1">'Calculations'!$M$13</definedName>
    <definedName name="test22percentcombined">'Calculations'!$M$138</definedName>
    <definedName name="test22percentdiv">'Calculations'!$M$28</definedName>
    <definedName name="test22percentsalroute">'Calculations'!$M$104</definedName>
    <definedName name="test22percentscenario2">'Calculations'!$M$239</definedName>
    <definedName name="test22scenario2">'Calculations'!$M$208</definedName>
    <definedName name="testpercentdiv">'Calculations'!$M$25</definedName>
    <definedName name="totaldiv">'Calculations'!$F$27</definedName>
    <definedName name="totaltaxscenario2">'Calculations'!$F$250</definedName>
    <definedName name="totaltaxscenario22">'Calculations'!$H$250</definedName>
    <definedName name="twentytwopercentband">'Calculations'!$D$12</definedName>
    <definedName name="uelni">'variables'!$F$50</definedName>
    <definedName name="uppermarginal">'Calculations'!$L$48</definedName>
  </definedNames>
  <calcPr fullCalcOnLoad="1" iterate="1" iterateCount="100" iterateDelta="0.001"/>
</workbook>
</file>

<file path=xl/comments10.xml><?xml version="1.0" encoding="utf-8"?>
<comments xmlns="http://schemas.openxmlformats.org/spreadsheetml/2006/main">
  <authors>
    <author>KevinS</author>
  </authors>
  <commentList>
    <comment ref="B32" authorId="0">
      <text>
        <r>
          <rPr>
            <sz val="9"/>
            <rFont val="Tahoma"/>
            <family val="2"/>
          </rPr>
          <t xml:space="preserve">Not currently used
</t>
        </r>
      </text>
    </comment>
  </commentList>
</comments>
</file>

<file path=xl/comments3.xml><?xml version="1.0" encoding="utf-8"?>
<comments xmlns="http://schemas.openxmlformats.org/spreadsheetml/2006/main">
  <authors>
    <author>Kevin Salter</author>
    <author>Kevin</author>
    <author>ks</author>
    <author>KevinS</author>
  </authors>
  <commentList>
    <comment ref="D7" authorId="0">
      <text>
        <r>
          <rPr>
            <sz val="8"/>
            <rFont val="Tahoma"/>
            <family val="2"/>
          </rPr>
          <t xml:space="preserve">Enter the number of partners here - 1 for sole trader or 2 or more for partners. The model will use this figure as the number of directors also. 
In this model it is assumed that remuneration/profits is split equally. 
</t>
        </r>
      </text>
    </comment>
    <comment ref="J39" authorId="0">
      <text>
        <r>
          <rPr>
            <sz val="8"/>
            <rFont val="Tahoma"/>
            <family val="2"/>
          </rPr>
          <t xml:space="preserve">If you enter a figure in the yellow box click on User from the drop down list. </t>
        </r>
      </text>
    </comment>
    <comment ref="J47" authorId="0">
      <text>
        <r>
          <rPr>
            <sz val="8"/>
            <rFont val="Tahoma"/>
            <family val="2"/>
          </rPr>
          <t xml:space="preserve">You can choose a gross salary (before employers NI) and the model then treats any balance available as a dividend. The default is the personal allowance  but you can enter any figure.  
</t>
        </r>
      </text>
    </comment>
    <comment ref="L41" authorId="0">
      <text>
        <r>
          <rPr>
            <sz val="8"/>
            <rFont val="Tahoma"/>
            <family val="2"/>
          </rPr>
          <t xml:space="preserve">The model assumes that each director is entitled to his "share" of the retained pre-tax profit. So if £10,000 is chosen and there are 2 directors the share will be shown as £5,000
</t>
        </r>
      </text>
    </comment>
    <comment ref="G9" authorId="1">
      <text>
        <r>
          <rPr>
            <sz val="8"/>
            <rFont val="Tahoma"/>
            <family val="2"/>
          </rPr>
          <t xml:space="preserve">Enter the individuals </t>
        </r>
        <r>
          <rPr>
            <b/>
            <sz val="8"/>
            <rFont val="Tahoma"/>
            <family val="2"/>
          </rPr>
          <t>share</t>
        </r>
        <r>
          <rPr>
            <sz val="8"/>
            <rFont val="Tahoma"/>
            <family val="2"/>
          </rPr>
          <t xml:space="preserve"> of taxation addbacks for a sole trader/partnership that will NOT be added back in a company e.g. private motor expenses, private telephone etc. This should be net of any deductions adjusted in the tax comps. Depreciation should be ignored as should capital allowances. It is outside the scope of this model to build in capital allowances private proportions e.g. of vehicles. This section is optional and can be ignored.
</t>
        </r>
      </text>
    </comment>
    <comment ref="G11" authorId="1">
      <text>
        <r>
          <rPr>
            <b/>
            <sz val="8"/>
            <rFont val="Tahoma"/>
            <family val="2"/>
          </rPr>
          <t xml:space="preserve">A manual entry of the tax that you calculate to be due on any benefits in kind e.g. car or van benefits. If there is any entry here it will appear on the summary sheet. You need to ascertain the car and petrol benefits - use the 2020 Car Tax Calculator tool - available on Tax Tips
</t>
        </r>
      </text>
    </comment>
    <comment ref="H47" authorId="2">
      <text>
        <r>
          <rPr>
            <b/>
            <sz val="8"/>
            <rFont val="Tahoma"/>
            <family val="2"/>
          </rPr>
          <t xml:space="preserve">The figure in the box can be changed to your required figure.
</t>
        </r>
        <r>
          <rPr>
            <sz val="8"/>
            <rFont val="Tahoma"/>
            <family val="2"/>
          </rPr>
          <t xml:space="preserve">
</t>
        </r>
      </text>
    </comment>
    <comment ref="S8" authorId="3">
      <text>
        <r>
          <rPr>
            <sz val="9"/>
            <rFont val="Tahoma"/>
            <family val="2"/>
          </rPr>
          <t xml:space="preserve">TICK </t>
        </r>
        <r>
          <rPr>
            <b/>
            <sz val="9"/>
            <rFont val="Tahoma"/>
            <family val="2"/>
          </rPr>
          <t xml:space="preserve">ONE </t>
        </r>
        <r>
          <rPr>
            <sz val="9"/>
            <rFont val="Tahoma"/>
            <family val="2"/>
          </rPr>
          <t xml:space="preserve">Box only
</t>
        </r>
      </text>
    </comment>
    <comment ref="I8" authorId="3">
      <text>
        <r>
          <rPr>
            <sz val="9"/>
            <rFont val="Tahoma"/>
            <family val="2"/>
          </rPr>
          <t>Note this will tax dividends at 32.5% or 38.1%</t>
        </r>
      </text>
    </comment>
    <comment ref="I55" authorId="2">
      <text>
        <r>
          <rPr>
            <b/>
            <sz val="8"/>
            <rFont val="Tahoma"/>
            <family val="2"/>
          </rPr>
          <t xml:space="preserve">The figure in the box can be changed to your required figure.
</t>
        </r>
        <r>
          <rPr>
            <sz val="8"/>
            <rFont val="Tahoma"/>
            <family val="2"/>
          </rPr>
          <t xml:space="preserve">
</t>
        </r>
      </text>
    </comment>
    <comment ref="I11" authorId="0">
      <text>
        <r>
          <rPr>
            <sz val="8"/>
            <rFont val="Tahoma"/>
            <family val="2"/>
          </rPr>
          <t xml:space="preserve">If whollly at 40%or 45% enter the percentage restriction to apply to the pesonal allowance - defaults to 100%
</t>
        </r>
      </text>
    </comment>
  </commentList>
</comments>
</file>

<file path=xl/comments6.xml><?xml version="1.0" encoding="utf-8"?>
<comments xmlns="http://schemas.openxmlformats.org/spreadsheetml/2006/main">
  <authors>
    <author>KevinS</author>
  </authors>
  <commentList>
    <comment ref="D32" authorId="0">
      <text>
        <r>
          <rPr>
            <sz val="9"/>
            <rFont val="Tahoma"/>
            <family val="2"/>
          </rPr>
          <t xml:space="preserve">Calculate offline and enter a negative figure if you want to show tax savings on pension contributions
</t>
        </r>
      </text>
    </comment>
    <comment ref="F32" authorId="0">
      <text>
        <r>
          <rPr>
            <sz val="9"/>
            <rFont val="Tahoma"/>
            <family val="2"/>
          </rPr>
          <t xml:space="preserve">Calculate offline and enter a negative figure if you want to show tax savings on pension contributions
</t>
        </r>
      </text>
    </comment>
    <comment ref="I32" authorId="0">
      <text>
        <r>
          <rPr>
            <sz val="9"/>
            <rFont val="Tahoma"/>
            <family val="2"/>
          </rPr>
          <t xml:space="preserve">Calculate offline and enter a negative figure if you want to show tax savings on pension contributions
</t>
        </r>
      </text>
    </comment>
    <comment ref="K32" authorId="0">
      <text>
        <r>
          <rPr>
            <sz val="9"/>
            <rFont val="Tahoma"/>
            <family val="2"/>
          </rPr>
          <t xml:space="preserve">Calculate offline and enter a negative figure if you want to show tax savings on pension contributions
</t>
        </r>
      </text>
    </comment>
    <comment ref="B32" authorId="0">
      <text>
        <r>
          <rPr>
            <sz val="9"/>
            <rFont val="Tahoma"/>
            <family val="2"/>
          </rPr>
          <t xml:space="preserve">This field is editable and can be deleted if not required
</t>
        </r>
      </text>
    </comment>
  </commentList>
</comments>
</file>

<file path=xl/sharedStrings.xml><?xml version="1.0" encoding="utf-8"?>
<sst xmlns="http://schemas.openxmlformats.org/spreadsheetml/2006/main" count="888" uniqueCount="381">
  <si>
    <t>Individual</t>
  </si>
  <si>
    <t>Salary</t>
  </si>
  <si>
    <t>Route</t>
  </si>
  <si>
    <t xml:space="preserve">Dividend </t>
  </si>
  <si>
    <t>Profits</t>
  </si>
  <si>
    <t>Calculations</t>
  </si>
  <si>
    <t>Personal allowance</t>
  </si>
  <si>
    <t>Chargeable to tax</t>
  </si>
  <si>
    <t>Personal Pension Contribution (gross)</t>
  </si>
  <si>
    <t xml:space="preserve"> </t>
  </si>
  <si>
    <t>on</t>
  </si>
  <si>
    <t>Max</t>
  </si>
  <si>
    <t>Lower limit</t>
  </si>
  <si>
    <t>Upper limit</t>
  </si>
  <si>
    <t>Class 4 NI</t>
  </si>
  <si>
    <t>Rate</t>
  </si>
  <si>
    <t>Self Employment</t>
  </si>
  <si>
    <t>Tax</t>
  </si>
  <si>
    <t>Assumptions</t>
  </si>
  <si>
    <t>Corporation Tax</t>
  </si>
  <si>
    <t>Ctax on Profits</t>
  </si>
  <si>
    <t>TAX ON DIVIDENDS CALCULATION</t>
  </si>
  <si>
    <t xml:space="preserve">Dividend route  - </t>
  </si>
  <si>
    <t xml:space="preserve">Salary </t>
  </si>
  <si>
    <t>Default is Personal allowance + personal Pension Contribution</t>
  </si>
  <si>
    <t>(uneditable- same as self employed route)</t>
  </si>
  <si>
    <t>Enter user figure here</t>
  </si>
  <si>
    <t>Default</t>
  </si>
  <si>
    <t>User</t>
  </si>
  <si>
    <t>Table</t>
  </si>
  <si>
    <t>UEL</t>
  </si>
  <si>
    <t>Monthly</t>
  </si>
  <si>
    <t>Annual</t>
  </si>
  <si>
    <t>LEL</t>
  </si>
  <si>
    <t>Ees</t>
  </si>
  <si>
    <t>Ers</t>
  </si>
  <si>
    <t xml:space="preserve">Number of Directors </t>
  </si>
  <si>
    <t>B</t>
  </si>
  <si>
    <t>A</t>
  </si>
  <si>
    <t>This model compares one director only to his share of profits. To arrive at total profits for the company and calculate the corporation</t>
  </si>
  <si>
    <t>tax liability correctly, it will multiply the profits by the number of directors.</t>
  </si>
  <si>
    <t>Number of partners</t>
  </si>
  <si>
    <t>Corporation Tax profits</t>
  </si>
  <si>
    <t>++++++++++++++++++++++++++++++++++++++++++++++++++++++++++++++++++++++++++++++++++++++++++</t>
  </si>
  <si>
    <t>Tax on Directors "share"</t>
  </si>
  <si>
    <t>NET Distributable as Dividend</t>
  </si>
  <si>
    <t>Dividend</t>
  </si>
  <si>
    <t>Add Tax Credit</t>
  </si>
  <si>
    <t>Total</t>
  </si>
  <si>
    <t>Class 2 NI</t>
  </si>
  <si>
    <t>Limited Company</t>
  </si>
  <si>
    <t>Directors Remuneration Route</t>
  </si>
  <si>
    <t>NET Available for Salary</t>
  </si>
  <si>
    <t>Employers NI</t>
  </si>
  <si>
    <t>NICABLE</t>
  </si>
  <si>
    <t>Employers NIC</t>
  </si>
  <si>
    <t>1 divided by ers ni rate</t>
  </si>
  <si>
    <t>Liable to Corporation Tax</t>
  </si>
  <si>
    <t>Checktotal</t>
  </si>
  <si>
    <t>Taxable</t>
  </si>
  <si>
    <t>marginal limit</t>
  </si>
  <si>
    <t>Profit After Tax but Pre Dividends</t>
  </si>
  <si>
    <t>in total</t>
  </si>
  <si>
    <t>Employees NI</t>
  </si>
  <si>
    <t>EES NI</t>
  </si>
  <si>
    <t>Total Deductions</t>
  </si>
  <si>
    <t>Less Tax Paid</t>
  </si>
  <si>
    <t>Additional Tax</t>
  </si>
  <si>
    <t>10%restriction</t>
  </si>
  <si>
    <t>Salary and</t>
  </si>
  <si>
    <t>Gross Salary</t>
  </si>
  <si>
    <t>Liable to CT</t>
  </si>
  <si>
    <t>Profit to retain</t>
  </si>
  <si>
    <t>Tax on dividends</t>
  </si>
  <si>
    <t>div</t>
  </si>
  <si>
    <t>gross up div</t>
  </si>
  <si>
    <t>liable *10%</t>
  </si>
  <si>
    <t>Charge at 22%</t>
  </si>
  <si>
    <t>liable at 40%</t>
  </si>
  <si>
    <t>liable at 10% dividends</t>
  </si>
  <si>
    <t>liable at 32.5%</t>
  </si>
  <si>
    <t>less Tax on divs</t>
  </si>
  <si>
    <t>Tax due</t>
  </si>
  <si>
    <t>Retained Profits pre tax</t>
  </si>
  <si>
    <t>Taxable from salary</t>
  </si>
  <si>
    <t>Tax onsalcombined</t>
  </si>
  <si>
    <t>TAXPAYABLE</t>
  </si>
  <si>
    <t xml:space="preserve">Gross salary for "combined" salaries and dividends </t>
  </si>
  <si>
    <t>Route - defaults to Salary as in Dividend route above</t>
  </si>
  <si>
    <t>Specify salary and personal pension contributions to be drawn in addition to Dividend.</t>
  </si>
  <si>
    <t>NOTE that the Combined route can be used to do both salary and dividend</t>
  </si>
  <si>
    <t xml:space="preserve">Less P.Allowance Restriction </t>
  </si>
  <si>
    <t>The number appearing on the Summary screen will be the directors "share"  - Total retained profit/number of directors=</t>
  </si>
  <si>
    <t>SUMMARY SHEET</t>
  </si>
  <si>
    <t>Review the summary sheet</t>
  </si>
  <si>
    <t>Retained inside company (pro rata)</t>
  </si>
  <si>
    <t>Net Disposable Income</t>
  </si>
  <si>
    <t>Number of owner managers</t>
  </si>
  <si>
    <t>Total Business Profits</t>
  </si>
  <si>
    <t>Key Data</t>
  </si>
  <si>
    <t>Average Gross Pension Contribution each</t>
  </si>
  <si>
    <t>Pre Tax Salary (for Salary v Dividend scenario)</t>
  </si>
  <si>
    <t>Combined Route   MAIN</t>
  </si>
  <si>
    <t>Combined Route   Option 2</t>
  </si>
  <si>
    <t>If there are any negative figures in a red box the criteria you have selected cannot be met. Change the criteria and review again.</t>
  </si>
  <si>
    <t>Notes</t>
  </si>
  <si>
    <t>Hover over any of the red triangles for more information</t>
  </si>
  <si>
    <r>
      <t xml:space="preserve">for </t>
    </r>
    <r>
      <rPr>
        <b/>
        <sz val="10"/>
        <rFont val="Arial"/>
        <family val="2"/>
      </rPr>
      <t>one</t>
    </r>
    <r>
      <rPr>
        <sz val="10"/>
        <rFont val="Arial"/>
        <family val="2"/>
      </rPr>
      <t xml:space="preserve"> partner only</t>
    </r>
  </si>
  <si>
    <t xml:space="preserve">Corporation Tax Profits pre Directors Salary    </t>
  </si>
  <si>
    <t>DATA INPUT SHEET</t>
  </si>
  <si>
    <t>You can enter figures in the yellow boxes only. Data in the blue boxes feeds off the yellow entries</t>
  </si>
  <si>
    <t>Summary of Position</t>
  </si>
  <si>
    <t>Saving p.a.</t>
  </si>
  <si>
    <t>Total Saving over</t>
  </si>
  <si>
    <t>years</t>
  </si>
  <si>
    <t>Available on Unincorporated Route</t>
  </si>
  <si>
    <t xml:space="preserve">Total Saving over </t>
  </si>
  <si>
    <t>years for an individual</t>
  </si>
  <si>
    <t>years for all individuals</t>
  </si>
  <si>
    <t>Optional entry - to enable tax calculations to be more accurate</t>
  </si>
  <si>
    <t>excess over NI max</t>
  </si>
  <si>
    <t>Excess NI Rate</t>
  </si>
  <si>
    <t>Check answer</t>
  </si>
  <si>
    <t>Lower rate</t>
  </si>
  <si>
    <t>Marginal</t>
  </si>
  <si>
    <t>2003/4</t>
  </si>
  <si>
    <t>2002/03</t>
  </si>
  <si>
    <t>Client Name if required on Reports-------&gt;</t>
  </si>
  <si>
    <t>(Accountancy, Companies House filing fee, etc.)</t>
  </si>
  <si>
    <t>Additional Costs that will be incurred  (P Annum)    est'd</t>
  </si>
  <si>
    <t>Saving/(Cost) compared to the Salary Route</t>
  </si>
  <si>
    <t>nicablemain</t>
  </si>
  <si>
    <t>Marginallower</t>
  </si>
  <si>
    <t>Retirement Annuity contributions (gross)</t>
  </si>
  <si>
    <t>Retirement Annuity</t>
  </si>
  <si>
    <t>Retirement annuity</t>
  </si>
  <si>
    <t>Tick if exempt from NI</t>
  </si>
  <si>
    <t>UpperMarginal</t>
  </si>
  <si>
    <t>old version of k183</t>
  </si>
  <si>
    <t>All at 40%</t>
  </si>
  <si>
    <t>Which field to use?</t>
  </si>
  <si>
    <t>Tick the box to suppress the calculations for maximum salary for pension purposes</t>
  </si>
  <si>
    <t>Should I Incorporate?</t>
  </si>
  <si>
    <t>Calculations Summary</t>
  </si>
  <si>
    <t>Self Employed Route</t>
  </si>
  <si>
    <t>MAX INC PPP Conts</t>
  </si>
  <si>
    <t>Chargeable on</t>
  </si>
  <si>
    <t>Total Tax and NI Liability</t>
  </si>
  <si>
    <t>Salary and Dividend Route</t>
  </si>
  <si>
    <t>Dividend + Tax Credit</t>
  </si>
  <si>
    <t>NI Calculation</t>
  </si>
  <si>
    <t>Lower Earnings Limit</t>
  </si>
  <si>
    <t>Tax Calculation</t>
  </si>
  <si>
    <t>Total Income</t>
  </si>
  <si>
    <t>Company Position</t>
  </si>
  <si>
    <t>Number of Partners</t>
  </si>
  <si>
    <t>Employees NI Calculation</t>
  </si>
  <si>
    <t>Less:Tax deemed paid on Dividends</t>
  </si>
  <si>
    <t>Tax Liability</t>
  </si>
  <si>
    <t>Profit</t>
  </si>
  <si>
    <t>Less: Salary and Employers NI</t>
  </si>
  <si>
    <t>Salary-PA</t>
  </si>
  <si>
    <t>divs</t>
  </si>
  <si>
    <t>No Class 4 or Ees NI calculated</t>
  </si>
  <si>
    <t>Tick if already a company</t>
  </si>
  <si>
    <t>Ass cos</t>
  </si>
  <si>
    <t>Enter total no of companies</t>
  </si>
  <si>
    <t>retannuity</t>
  </si>
  <si>
    <t>Tax on Divs</t>
  </si>
  <si>
    <t xml:space="preserve">Restriction </t>
  </si>
  <si>
    <t>Total Tax</t>
  </si>
  <si>
    <t>Gross</t>
  </si>
  <si>
    <t>Test</t>
  </si>
  <si>
    <t>Cotax</t>
  </si>
  <si>
    <t>Model</t>
  </si>
  <si>
    <t>INPUT</t>
  </si>
  <si>
    <t>Net</t>
  </si>
  <si>
    <t>RESULT</t>
  </si>
  <si>
    <t>NET</t>
  </si>
  <si>
    <t>Profit potentially subject to Corporation Tax</t>
  </si>
  <si>
    <t>Revised Calcs 9.11.02</t>
  </si>
  <si>
    <t>*</t>
  </si>
  <si>
    <t xml:space="preserve">Note this page is no longer "protected" </t>
  </si>
  <si>
    <t>* Note that the associated companies has NOT been built into calculations where profits remain in the co in version 3.21- total associated cos above needs to be 1</t>
  </si>
  <si>
    <t>salary</t>
  </si>
  <si>
    <t xml:space="preserve"> pallce</t>
  </si>
  <si>
    <t>Restriction</t>
  </si>
  <si>
    <t xml:space="preserve">  </t>
  </si>
  <si>
    <t>Addbacks</t>
  </si>
  <si>
    <t>Tax on BIK</t>
  </si>
  <si>
    <t>Optional</t>
  </si>
  <si>
    <t>Memo only - Net Payable as Dividend</t>
  </si>
  <si>
    <t>Available for dividend</t>
  </si>
  <si>
    <t>Total Tax Bill (Memo only)</t>
  </si>
  <si>
    <t xml:space="preserve">DISCLAIMER - This tool is for general use and not every possible scenario that could exist is covered. In the event of errors, we will fix and supply an updated version but accept  no other responsibility. You are advised to use the output with care. BBS Computing Ltd and 2020 Innovation Group Ltd accept no responsibility as a result of any action or inaction taken as a result of using this model. </t>
  </si>
  <si>
    <t>NEWCO</t>
  </si>
  <si>
    <t>Additional costs over 5 years</t>
  </si>
  <si>
    <t>Total Potential Savings over 5 years</t>
  </si>
  <si>
    <t>Customer Name:</t>
  </si>
  <si>
    <t>Charge at basicrater/40%</t>
  </si>
  <si>
    <t>Charge at basic rate/40%</t>
  </si>
  <si>
    <t>Mr Smith</t>
  </si>
  <si>
    <t>Less: Dividends</t>
  </si>
  <si>
    <t>Personal rates</t>
  </si>
  <si>
    <t>CT rates</t>
  </si>
  <si>
    <t>Ctax Rates</t>
  </si>
  <si>
    <t>basicrateband</t>
  </si>
  <si>
    <t>eesnirate</t>
  </si>
  <si>
    <t>ersnirate</t>
  </si>
  <si>
    <t>lelni</t>
  </si>
  <si>
    <t>uelni</t>
  </si>
  <si>
    <t>Average</t>
  </si>
  <si>
    <t>taxable</t>
  </si>
  <si>
    <t>PROOF</t>
  </si>
  <si>
    <t>self emp profit</t>
  </si>
  <si>
    <t>band1test</t>
  </si>
  <si>
    <t>band1test/2</t>
  </si>
  <si>
    <t>restriction1</t>
  </si>
  <si>
    <t>Final Personal Allowance</t>
  </si>
  <si>
    <t>Tax rate</t>
  </si>
  <si>
    <t>salary route</t>
  </si>
  <si>
    <t>Bal taxable at higher rates</t>
  </si>
  <si>
    <t>40% taxable</t>
  </si>
  <si>
    <t>20% taxable</t>
  </si>
  <si>
    <t>liable at 37.5%</t>
  </si>
  <si>
    <t>45% column</t>
  </si>
  <si>
    <t>Below section not needed…….</t>
  </si>
  <si>
    <t>Yr1</t>
  </si>
  <si>
    <t>Yr2</t>
  </si>
  <si>
    <t>Div Route</t>
  </si>
  <si>
    <t>Sal+Div Route</t>
  </si>
  <si>
    <t>Tick if all income liable at higher rate</t>
  </si>
  <si>
    <t>liable at hr rate2</t>
  </si>
  <si>
    <t>liable at divrate2</t>
  </si>
  <si>
    <t>=IF(netavailableforsalary&gt;uelni,(netavailableforsalary-uelni)*1%,1)</t>
  </si>
  <si>
    <t>=ROUND(IF(nicable-uelni&gt;0,(nicable-uelni)*1%,0),2)</t>
  </si>
  <si>
    <t>Updated with PreBudget Report 2009</t>
  </si>
  <si>
    <t>Fixed CT rate and marginal rate error</t>
  </si>
  <si>
    <t>Tax saving on pension contributions</t>
  </si>
  <si>
    <t>Rate to use</t>
  </si>
  <si>
    <t>All at higher rate</t>
  </si>
  <si>
    <t>Removed pension contributions - added all at 40% or all at 50% options</t>
  </si>
  <si>
    <t>hrtaxband2</t>
  </si>
  <si>
    <t>ALL ROWS BELOW HIDDEN AS NO LONGER USED IN THE MODEL _ CAN REALLY BE DELETED</t>
  </si>
  <si>
    <t>Dividendtax</t>
  </si>
  <si>
    <t>CT Bands</t>
  </si>
  <si>
    <t xml:space="preserve">Tick if business eligible for NIC Exemption for start up Businesses? </t>
  </si>
  <si>
    <t>Exemption</t>
  </si>
  <si>
    <t>new section 23 6 2010</t>
  </si>
  <si>
    <t>Employers NIC exemption</t>
  </si>
  <si>
    <t>NOTE - This model by necessity now has circular refererences</t>
  </si>
  <si>
    <t xml:space="preserve">Budget June 2010 update </t>
  </si>
  <si>
    <t>yr 1</t>
  </si>
  <si>
    <t>yr 2</t>
  </si>
  <si>
    <t>Tax Variables</t>
  </si>
  <si>
    <t>tax bands</t>
  </si>
  <si>
    <t>Personal Allowances</t>
  </si>
  <si>
    <t>65-74</t>
  </si>
  <si>
    <t>75+</t>
  </si>
  <si>
    <t>MCA Max</t>
  </si>
  <si>
    <t>PA Inc limit</t>
  </si>
  <si>
    <t xml:space="preserve">Age allce </t>
  </si>
  <si>
    <t>BPA</t>
  </si>
  <si>
    <t>PT</t>
  </si>
  <si>
    <t>NI Rate</t>
  </si>
  <si>
    <t>ST</t>
  </si>
  <si>
    <t>Self Employed</t>
  </si>
  <si>
    <t>SEE</t>
  </si>
  <si>
    <t>LPL</t>
  </si>
  <si>
    <t>UPL</t>
  </si>
  <si>
    <t xml:space="preserve">Class 2 </t>
  </si>
  <si>
    <t>Base</t>
  </si>
  <si>
    <t>Over UPL</t>
  </si>
  <si>
    <t>Name</t>
  </si>
  <si>
    <t>weekly</t>
  </si>
  <si>
    <t>annual</t>
  </si>
  <si>
    <t>Tax Bands</t>
  </si>
  <si>
    <t>basic</t>
  </si>
  <si>
    <t>higher1</t>
  </si>
  <si>
    <t>Additional</t>
  </si>
  <si>
    <t>Weekly</t>
  </si>
  <si>
    <t>Dividend Tax Rates</t>
  </si>
  <si>
    <t>Rate 2</t>
  </si>
  <si>
    <t>Rate 1</t>
  </si>
  <si>
    <t xml:space="preserve">EES </t>
  </si>
  <si>
    <t>Ees Addl</t>
  </si>
  <si>
    <t>lelniers</t>
  </si>
  <si>
    <t>Updated with NI and tax rates issued by HMRC December 2010</t>
  </si>
  <si>
    <t>Ensure Iterative Calculations are enabled in Excel</t>
  </si>
  <si>
    <t>Further updates with known rates</t>
  </si>
  <si>
    <t>Small</t>
  </si>
  <si>
    <t>Full</t>
  </si>
  <si>
    <t>smallcosrate</t>
  </si>
  <si>
    <t>marginalcosrate</t>
  </si>
  <si>
    <t>fullcorates</t>
  </si>
  <si>
    <t>Profits to remain inside the company POST TAX</t>
  </si>
  <si>
    <t>Post Tax Company Profits Required</t>
  </si>
  <si>
    <t>(This ensures no NI by employer or employee)</t>
  </si>
  <si>
    <t xml:space="preserve">Marginal </t>
  </si>
  <si>
    <t>higherratepercent</t>
  </si>
  <si>
    <t>MCA min</t>
  </si>
  <si>
    <t>The Sale of Goodwill to the company at Market Value will produce a Tax free Fund which can be drawn down</t>
  </si>
  <si>
    <t>This can now be factored into the model. Use this sheet to enter the goodwill figures. Note this is not designed to be a goodwill valuation calculator.</t>
  </si>
  <si>
    <t>Goodwill of the business (total valuation)</t>
  </si>
  <si>
    <t>Number of partners (from input sheet)</t>
  </si>
  <si>
    <t>Goodwill attributed to each partner</t>
  </si>
  <si>
    <t>CGT Exemption</t>
  </si>
  <si>
    <t>CGT Band</t>
  </si>
  <si>
    <t>Chargeable to CGT</t>
  </si>
  <si>
    <t>CGT Payable</t>
  </si>
  <si>
    <t>Directors Loan Account credit - Goodwill less tax payable</t>
  </si>
  <si>
    <t>Goodwill - to be written off in accounts over number of years</t>
  </si>
  <si>
    <t>Drawing on directors Loan account over same period as Goodwill write off</t>
  </si>
  <si>
    <t>Goodwill tax deductible against profits?</t>
  </si>
  <si>
    <t>Yes</t>
  </si>
  <si>
    <t>No</t>
  </si>
  <si>
    <t>Total Goodwill write off p.a.</t>
  </si>
  <si>
    <t>Goodwill write off per partner</t>
  </si>
  <si>
    <t>2014/15</t>
  </si>
  <si>
    <t>Emp Allce</t>
  </si>
  <si>
    <t>ErsAllce</t>
  </si>
  <si>
    <t>Emps allce</t>
  </si>
  <si>
    <t>Max ers allowance per pner</t>
  </si>
  <si>
    <t>Comparison of 2014/15 scenarios with 2013/14</t>
  </si>
  <si>
    <t>This sheet takes a sample of figures that have been run through the model and compares savings to the 2013/14 model.</t>
  </si>
  <si>
    <t>1 partner</t>
  </si>
  <si>
    <t>Salary/Div</t>
  </si>
  <si>
    <t xml:space="preserve">Net </t>
  </si>
  <si>
    <t>Full NIC allce</t>
  </si>
  <si>
    <t>2013/14</t>
  </si>
  <si>
    <t xml:space="preserve">Increase </t>
  </si>
  <si>
    <t>individual</t>
  </si>
  <si>
    <t>Sal/Div</t>
  </si>
  <si>
    <t>C</t>
  </si>
  <si>
    <t>D</t>
  </si>
  <si>
    <t>E</t>
  </si>
  <si>
    <t>F</t>
  </si>
  <si>
    <t>G</t>
  </si>
  <si>
    <t>H</t>
  </si>
  <si>
    <t>G - H</t>
  </si>
  <si>
    <t>C - G</t>
  </si>
  <si>
    <t>C - D</t>
  </si>
  <si>
    <t>D - H</t>
  </si>
  <si>
    <t>There are no editable fields on this page</t>
  </si>
  <si>
    <t>CGT Rate (enter % applicable - note Entrepreneurs Relief Change 3/12/14)</t>
  </si>
  <si>
    <t>From 3/12/2014 this is no longer</t>
  </si>
  <si>
    <t>deudctible against profits</t>
  </si>
  <si>
    <t>Since 2002, companies within the charge to corporation tax were entitled to tax relief on the amortisation of goodwill. However where the goodwill has been acquired from a connected party there was a restriction: a tax deduction was only available if the business from which the goodwill is acquired commenced on or after 1 April 2002. From December 2014 this no longer applies. Also where the new rules apply, the ER rate of capital gains tax (CGT) will not apply to gains on the business’ goodwill, but gain on other business assets are not affected.The new provisions apply to disposals on or after 3 December 2014. They remove a tax incentive to incorporate an existing business.</t>
  </si>
  <si>
    <t>see note above</t>
  </si>
  <si>
    <t>2015/16</t>
  </si>
  <si>
    <t>div rate band</t>
  </si>
  <si>
    <t>liable at 7.5% dividends</t>
  </si>
  <si>
    <t>liable *20%</t>
  </si>
  <si>
    <t>liable at 0%</t>
  </si>
  <si>
    <t>New Dividend rates</t>
  </si>
  <si>
    <t>NewDivRate1</t>
  </si>
  <si>
    <t>NewDivRate2</t>
  </si>
  <si>
    <t>NewBrdiv</t>
  </si>
  <si>
    <t>Tax Free Dividend band</t>
  </si>
  <si>
    <t>2016/17</t>
  </si>
  <si>
    <t xml:space="preserve">Year </t>
  </si>
  <si>
    <t>Enter the Employers NI Allowance to be offset (defaults to £3000 but can be reduced if there are other employees which utilise some of this allowance)</t>
  </si>
  <si>
    <t>Basic</t>
  </si>
  <si>
    <t>Taxable earnings</t>
  </si>
  <si>
    <t>Taxable Dividends</t>
  </si>
  <si>
    <t>Balance</t>
  </si>
  <si>
    <t>All at higher rate#</t>
  </si>
  <si>
    <t>non div inco</t>
  </si>
  <si>
    <t>div inc</t>
  </si>
  <si>
    <t>2017/18</t>
  </si>
  <si>
    <t>Tick if Scottish Taxpayers</t>
  </si>
  <si>
    <t>UK</t>
  </si>
  <si>
    <t>Scottish</t>
  </si>
  <si>
    <t>Note - this model allocates the personal tax allowance against the salary first, then against dividends. There may be certain scenarios where it may be beneficial to allocate the personal allowances in a different way, which could lead to a slightly lower tax liability. This re-allocation of personal allowances is not currently handled in this model.</t>
  </si>
  <si>
    <t>SHOULD I INCORPORATE 2018/19</t>
  </si>
  <si>
    <t>© BBS Computing Limited and 2020 Innovation Group Limited, 2005-2018</t>
  </si>
  <si>
    <t>2018/19</t>
  </si>
  <si>
    <t>NOTE- the "default" is the maximum salary to avoid NI. In 2018/19 this is £8,424 Annual £702 monthly, £162 weekly. This model uses the ANNUAL RATE only for NI Calcs</t>
  </si>
  <si>
    <t>restriction 2</t>
  </si>
  <si>
    <t>2018/19 rates</t>
  </si>
  <si>
    <t>Version 11.01    14/05/2018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</si>
</sst>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_);\-* #,##0_-;_-* &quot;-&quot;_-;_-@_-"/>
    <numFmt numFmtId="165" formatCode="#,##0;\(#,##0_)"/>
    <numFmt numFmtId="166" formatCode="#,##0;\(#,##0\)"/>
    <numFmt numFmtId="167" formatCode="#,##0.00;\(#,##0.00\)"/>
    <numFmt numFmtId="168" formatCode="#,##0;_-\(#,##0\)"/>
    <numFmt numFmtId="169" formatCode="#,##0_);\(#,##0\)"/>
    <numFmt numFmtId="170" formatCode="0.0000%"/>
    <numFmt numFmtId="171" formatCode="#\ ???/???"/>
    <numFmt numFmtId="172" formatCode="0.0000000000000000%"/>
    <numFmt numFmtId="173" formatCode="0.0000000000000%"/>
    <numFmt numFmtId="174" formatCode="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809]dd\ mmmm\ yyyy"/>
    <numFmt numFmtId="181" formatCode="#,##0.00000000000"/>
    <numFmt numFmtId="182" formatCode="0.0%"/>
  </numFmts>
  <fonts count="66">
    <font>
      <sz val="10"/>
      <name val="Arial"/>
      <family val="0"/>
    </font>
    <font>
      <b/>
      <sz val="10"/>
      <name val="Arial"/>
      <family val="2"/>
    </font>
    <font>
      <b/>
      <sz val="12"/>
      <name val="Arial"/>
      <family val="2"/>
    </font>
    <font>
      <sz val="12"/>
      <name val="Arial"/>
      <family val="2"/>
    </font>
    <font>
      <b/>
      <sz val="12"/>
      <color indexed="12"/>
      <name val="Arial"/>
      <family val="2"/>
    </font>
    <font>
      <sz val="12"/>
      <color indexed="12"/>
      <name val="Arial"/>
      <family val="2"/>
    </font>
    <font>
      <sz val="8"/>
      <name val="Tahoma"/>
      <family val="2"/>
    </font>
    <font>
      <u val="single"/>
      <sz val="10"/>
      <color indexed="12"/>
      <name val="Arial"/>
      <family val="2"/>
    </font>
    <font>
      <u val="single"/>
      <sz val="10"/>
      <color indexed="36"/>
      <name val="Arial"/>
      <family val="2"/>
    </font>
    <font>
      <b/>
      <sz val="14"/>
      <color indexed="12"/>
      <name val="Arial"/>
      <family val="2"/>
    </font>
    <font>
      <b/>
      <sz val="10"/>
      <color indexed="10"/>
      <name val="Arial"/>
      <family val="2"/>
    </font>
    <font>
      <sz val="10"/>
      <color indexed="12"/>
      <name val="Arial"/>
      <family val="2"/>
    </font>
    <font>
      <b/>
      <i/>
      <sz val="12"/>
      <color indexed="12"/>
      <name val="Arial"/>
      <family val="2"/>
    </font>
    <font>
      <sz val="9"/>
      <name val="Arial"/>
      <family val="2"/>
    </font>
    <font>
      <b/>
      <sz val="10"/>
      <color indexed="18"/>
      <name val="Arial"/>
      <family val="2"/>
    </font>
    <font>
      <sz val="18"/>
      <color indexed="12"/>
      <name val="Arial Rounded MT Bold"/>
      <family val="2"/>
    </font>
    <font>
      <i/>
      <sz val="10"/>
      <name val="Arial"/>
      <family val="2"/>
    </font>
    <font>
      <sz val="10"/>
      <color indexed="10"/>
      <name val="Arial"/>
      <family val="2"/>
    </font>
    <font>
      <b/>
      <i/>
      <sz val="10"/>
      <name val="Arial"/>
      <family val="2"/>
    </font>
    <font>
      <b/>
      <sz val="12"/>
      <color indexed="10"/>
      <name val="Arial"/>
      <family val="2"/>
    </font>
    <font>
      <b/>
      <sz val="8"/>
      <name val="Tahoma"/>
      <family val="2"/>
    </font>
    <font>
      <sz val="10"/>
      <color indexed="9"/>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Verdana"/>
      <family val="2"/>
    </font>
    <font>
      <sz val="8"/>
      <name val="Verdana"/>
      <family val="2"/>
    </font>
    <font>
      <b/>
      <sz val="12"/>
      <name val="Verdana"/>
      <family val="2"/>
    </font>
    <font>
      <sz val="10"/>
      <color indexed="9"/>
      <name val="Verdana"/>
      <family val="2"/>
    </font>
    <font>
      <b/>
      <sz val="10"/>
      <color indexed="18"/>
      <name val="Verdana"/>
      <family val="2"/>
    </font>
    <font>
      <sz val="9"/>
      <name val="Tahoma"/>
      <family val="2"/>
    </font>
    <font>
      <b/>
      <sz val="9"/>
      <name val="Tahoma"/>
      <family val="2"/>
    </font>
    <font>
      <i/>
      <sz val="8"/>
      <name val="Arial"/>
      <family val="2"/>
    </font>
    <font>
      <sz val="8"/>
      <name val="Segoe UI"/>
      <family val="2"/>
    </font>
    <font>
      <i/>
      <sz val="8"/>
      <name val="Verdana"/>
      <family val="2"/>
    </font>
    <font>
      <sz val="10"/>
      <color indexed="26"/>
      <name val="Arial"/>
      <family val="2"/>
    </font>
    <font>
      <sz val="12"/>
      <color indexed="26"/>
      <name val="Arial"/>
      <family val="2"/>
    </font>
    <font>
      <b/>
      <sz val="10"/>
      <color indexed="9"/>
      <name val="Arial"/>
      <family val="2"/>
    </font>
    <font>
      <b/>
      <sz val="10"/>
      <color indexed="8"/>
      <name val="Arial"/>
      <family val="2"/>
    </font>
    <font>
      <sz val="10"/>
      <color indexed="30"/>
      <name val="Arial"/>
      <family val="2"/>
    </font>
    <font>
      <b/>
      <sz val="10"/>
      <color indexed="10"/>
      <name val="Verdana"/>
      <family val="2"/>
    </font>
    <font>
      <sz val="10"/>
      <color theme="2"/>
      <name val="Arial"/>
      <family val="2"/>
    </font>
    <font>
      <sz val="12"/>
      <color theme="2"/>
      <name val="Arial"/>
      <family val="2"/>
    </font>
    <font>
      <b/>
      <sz val="10"/>
      <color theme="0"/>
      <name val="Arial"/>
      <family val="2"/>
    </font>
    <font>
      <sz val="10"/>
      <color theme="0"/>
      <name val="Arial"/>
      <family val="2"/>
    </font>
    <font>
      <sz val="10"/>
      <color rgb="FFFF0000"/>
      <name val="Arial"/>
      <family val="2"/>
    </font>
    <font>
      <b/>
      <sz val="10"/>
      <color rgb="FFFF0000"/>
      <name val="Arial"/>
      <family val="2"/>
    </font>
    <font>
      <b/>
      <sz val="10"/>
      <color theme="1"/>
      <name val="Arial"/>
      <family val="2"/>
    </font>
    <font>
      <sz val="10"/>
      <color rgb="FF0070C0"/>
      <name val="Arial"/>
      <family val="2"/>
    </font>
    <font>
      <b/>
      <sz val="10"/>
      <color rgb="FFFF0000"/>
      <name val="Verdana"/>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5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60"/>
        <bgColor indexed="64"/>
      </patternFill>
    </fill>
    <fill>
      <patternFill patternType="solid">
        <fgColor rgb="FF00B0F0"/>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3" tint="0.7999799847602844"/>
        <bgColor indexed="64"/>
      </patternFill>
    </fill>
    <fill>
      <patternFill patternType="solid">
        <fgColor indexed="54"/>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thin"/>
    </border>
    <border>
      <left style="thin"/>
      <right style="thin"/>
      <top style="thick"/>
      <bottom style="thick"/>
    </border>
    <border>
      <left>
        <color indexed="63"/>
      </left>
      <right>
        <color indexed="63"/>
      </right>
      <top style="double"/>
      <bottom>
        <color indexed="63"/>
      </bottom>
    </border>
    <border>
      <left>
        <color indexed="63"/>
      </left>
      <right style="thin"/>
      <top style="double"/>
      <bottom style="double"/>
    </border>
    <border>
      <left style="thin"/>
      <right style="thin"/>
      <top style="double"/>
      <bottom style="double"/>
    </border>
    <border>
      <left>
        <color indexed="63"/>
      </left>
      <right style="thin"/>
      <top style="double"/>
      <bottom>
        <color indexed="63"/>
      </bottom>
    </border>
    <border>
      <left>
        <color indexed="63"/>
      </left>
      <right style="thin"/>
      <top style="thick"/>
      <bottom style="thick"/>
    </border>
    <border>
      <left>
        <color indexed="63"/>
      </left>
      <right>
        <color indexed="63"/>
      </right>
      <top style="thin"/>
      <bottom style="thin"/>
    </border>
    <border>
      <left>
        <color indexed="63"/>
      </left>
      <right>
        <color indexed="63"/>
      </right>
      <top style="thin"/>
      <bottom style="double"/>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double"/>
      <bottom>
        <color indexed="63"/>
      </bottom>
    </border>
    <border>
      <left style="thin"/>
      <right style="thin"/>
      <top style="thin"/>
      <bottom style="double"/>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9" fontId="0" fillId="0" borderId="0" xfId="0" applyNumberFormat="1" applyAlignment="1">
      <alignment/>
    </xf>
    <xf numFmtId="0" fontId="0" fillId="0" borderId="0" xfId="0" applyNumberFormat="1" applyAlignment="1">
      <alignment/>
    </xf>
    <xf numFmtId="2" fontId="0" fillId="0" borderId="0" xfId="0" applyNumberFormat="1" applyAlignment="1">
      <alignment/>
    </xf>
    <xf numFmtId="2" fontId="0" fillId="24" borderId="0" xfId="0" applyNumberFormat="1" applyFill="1" applyAlignment="1">
      <alignment/>
    </xf>
    <xf numFmtId="2" fontId="3" fillId="0" borderId="0" xfId="0" applyNumberFormat="1" applyFont="1" applyAlignment="1">
      <alignment/>
    </xf>
    <xf numFmtId="0" fontId="0" fillId="0" borderId="0" xfId="0" applyAlignment="1" applyProtection="1">
      <alignment/>
      <protection locked="0"/>
    </xf>
    <xf numFmtId="0" fontId="4" fillId="0" borderId="0" xfId="0" applyFont="1" applyAlignment="1">
      <alignment/>
    </xf>
    <xf numFmtId="0" fontId="5" fillId="0" borderId="0" xfId="0" applyFont="1" applyAlignment="1">
      <alignment/>
    </xf>
    <xf numFmtId="0" fontId="0" fillId="25" borderId="0" xfId="0" applyFill="1" applyAlignment="1">
      <alignment/>
    </xf>
    <xf numFmtId="0" fontId="0" fillId="24" borderId="0" xfId="0" applyFill="1" applyAlignment="1">
      <alignment/>
    </xf>
    <xf numFmtId="10" fontId="0" fillId="0" borderId="0" xfId="0" applyNumberFormat="1" applyAlignment="1">
      <alignment/>
    </xf>
    <xf numFmtId="0" fontId="0" fillId="0" borderId="0" xfId="0" applyAlignment="1" quotePrefix="1">
      <alignment/>
    </xf>
    <xf numFmtId="0" fontId="0" fillId="0" borderId="0" xfId="0" applyFill="1" applyAlignment="1" applyProtection="1">
      <alignment/>
      <protection locked="0"/>
    </xf>
    <xf numFmtId="2" fontId="1" fillId="0" borderId="0" xfId="0" applyNumberFormat="1" applyFont="1" applyAlignment="1">
      <alignment/>
    </xf>
    <xf numFmtId="2" fontId="3" fillId="0" borderId="0" xfId="0" applyNumberFormat="1" applyFont="1" applyAlignment="1">
      <alignment/>
    </xf>
    <xf numFmtId="0" fontId="4" fillId="0" borderId="0" xfId="0" applyFont="1" applyBorder="1" applyAlignment="1">
      <alignment horizontal="center"/>
    </xf>
    <xf numFmtId="4" fontId="2" fillId="0" borderId="10" xfId="0" applyNumberFormat="1" applyFont="1" applyBorder="1" applyAlignment="1">
      <alignment/>
    </xf>
    <xf numFmtId="4" fontId="2" fillId="0" borderId="0" xfId="0" applyNumberFormat="1" applyFont="1" applyAlignment="1">
      <alignment/>
    </xf>
    <xf numFmtId="4" fontId="2" fillId="0" borderId="11" xfId="0" applyNumberFormat="1" applyFont="1" applyBorder="1" applyAlignment="1">
      <alignment/>
    </xf>
    <xf numFmtId="4" fontId="2" fillId="0" borderId="12" xfId="0" applyNumberFormat="1" applyFont="1" applyBorder="1" applyAlignment="1">
      <alignment/>
    </xf>
    <xf numFmtId="4" fontId="2" fillId="0" borderId="0" xfId="0" applyNumberFormat="1" applyFont="1" applyBorder="1" applyAlignment="1">
      <alignment/>
    </xf>
    <xf numFmtId="4" fontId="3" fillId="0" borderId="11" xfId="0" applyNumberFormat="1" applyFont="1" applyBorder="1" applyAlignment="1">
      <alignment/>
    </xf>
    <xf numFmtId="4" fontId="0" fillId="0" borderId="12" xfId="0" applyNumberFormat="1" applyBorder="1" applyAlignment="1">
      <alignment/>
    </xf>
    <xf numFmtId="4" fontId="2" fillId="0" borderId="11" xfId="0" applyNumberFormat="1" applyFont="1" applyBorder="1" applyAlignment="1">
      <alignment/>
    </xf>
    <xf numFmtId="4" fontId="2" fillId="0" borderId="13" xfId="0" applyNumberFormat="1" applyFont="1" applyBorder="1" applyAlignment="1">
      <alignment/>
    </xf>
    <xf numFmtId="4" fontId="2" fillId="0" borderId="14" xfId="0" applyNumberFormat="1" applyFont="1" applyBorder="1" applyAlignment="1">
      <alignment/>
    </xf>
    <xf numFmtId="4" fontId="0" fillId="0" borderId="0" xfId="0" applyNumberFormat="1" applyAlignment="1">
      <alignment/>
    </xf>
    <xf numFmtId="4" fontId="2" fillId="26" borderId="14" xfId="0" applyNumberFormat="1" applyFont="1" applyFill="1" applyBorder="1" applyAlignment="1">
      <alignment/>
    </xf>
    <xf numFmtId="4" fontId="2" fillId="0" borderId="15" xfId="0" applyNumberFormat="1" applyFont="1" applyBorder="1" applyAlignment="1">
      <alignment/>
    </xf>
    <xf numFmtId="4" fontId="2" fillId="0" borderId="16" xfId="0" applyNumberFormat="1" applyFont="1" applyBorder="1" applyAlignment="1">
      <alignment/>
    </xf>
    <xf numFmtId="4" fontId="0" fillId="0" borderId="10" xfId="0" applyNumberFormat="1" applyBorder="1" applyAlignment="1">
      <alignment/>
    </xf>
    <xf numFmtId="4" fontId="0" fillId="0" borderId="11" xfId="0" applyNumberFormat="1" applyBorder="1" applyAlignment="1">
      <alignment/>
    </xf>
    <xf numFmtId="4" fontId="2" fillId="0" borderId="17" xfId="0" applyNumberFormat="1" applyFont="1" applyBorder="1" applyAlignment="1">
      <alignment/>
    </xf>
    <xf numFmtId="4" fontId="2" fillId="0" borderId="12" xfId="0" applyNumberFormat="1" applyFont="1" applyBorder="1" applyAlignment="1">
      <alignment/>
    </xf>
    <xf numFmtId="4" fontId="2" fillId="0" borderId="13" xfId="0" applyNumberFormat="1" applyFont="1" applyBorder="1" applyAlignment="1">
      <alignment/>
    </xf>
    <xf numFmtId="4" fontId="1" fillId="0" borderId="12" xfId="0" applyNumberFormat="1" applyFont="1" applyBorder="1" applyAlignment="1">
      <alignment/>
    </xf>
    <xf numFmtId="4" fontId="3" fillId="0" borderId="10" xfId="0" applyNumberFormat="1" applyFont="1" applyBorder="1" applyAlignment="1">
      <alignment/>
    </xf>
    <xf numFmtId="4" fontId="3" fillId="0" borderId="0" xfId="0" applyNumberFormat="1" applyFont="1" applyAlignment="1">
      <alignment/>
    </xf>
    <xf numFmtId="4" fontId="3" fillId="0" borderId="11" xfId="0" applyNumberFormat="1" applyFont="1" applyBorder="1" applyAlignment="1">
      <alignment/>
    </xf>
    <xf numFmtId="4" fontId="3" fillId="0" borderId="12" xfId="0" applyNumberFormat="1" applyFont="1" applyBorder="1" applyAlignment="1">
      <alignment/>
    </xf>
    <xf numFmtId="4" fontId="2" fillId="26" borderId="18" xfId="0" applyNumberFormat="1" applyFont="1" applyFill="1" applyBorder="1" applyAlignment="1">
      <alignment/>
    </xf>
    <xf numFmtId="4" fontId="3" fillId="0" borderId="13" xfId="0" applyNumberFormat="1" applyFont="1" applyBorder="1" applyAlignment="1">
      <alignment/>
    </xf>
    <xf numFmtId="4" fontId="3" fillId="0" borderId="13" xfId="0" applyNumberFormat="1" applyFont="1" applyBorder="1" applyAlignment="1">
      <alignment/>
    </xf>
    <xf numFmtId="14" fontId="0" fillId="0" borderId="0" xfId="0" applyNumberFormat="1" applyAlignment="1">
      <alignment/>
    </xf>
    <xf numFmtId="0" fontId="10" fillId="0" borderId="0" xfId="0" applyFont="1" applyAlignment="1">
      <alignment/>
    </xf>
    <xf numFmtId="0" fontId="0" fillId="26" borderId="0" xfId="0" applyFill="1" applyAlignment="1">
      <alignment/>
    </xf>
    <xf numFmtId="0" fontId="2" fillId="0" borderId="0" xfId="0" applyFont="1" applyAlignment="1">
      <alignment horizontal="center"/>
    </xf>
    <xf numFmtId="4" fontId="2" fillId="26" borderId="19" xfId="0" applyNumberFormat="1" applyFont="1" applyFill="1" applyBorder="1" applyAlignment="1">
      <alignment/>
    </xf>
    <xf numFmtId="4" fontId="2" fillId="26" borderId="20" xfId="0" applyNumberFormat="1" applyFont="1" applyFill="1" applyBorder="1" applyAlignment="1">
      <alignment/>
    </xf>
    <xf numFmtId="4" fontId="2" fillId="0" borderId="10" xfId="0" applyNumberFormat="1" applyFont="1" applyFill="1" applyBorder="1" applyAlignment="1">
      <alignment/>
    </xf>
    <xf numFmtId="4" fontId="3" fillId="0" borderId="0" xfId="0" applyNumberFormat="1" applyFont="1" applyBorder="1" applyAlignment="1">
      <alignment/>
    </xf>
    <xf numFmtId="4" fontId="3" fillId="0" borderId="21" xfId="0" applyNumberFormat="1" applyFont="1" applyBorder="1" applyAlignment="1">
      <alignment/>
    </xf>
    <xf numFmtId="4" fontId="0" fillId="0" borderId="14" xfId="0" applyNumberFormat="1" applyBorder="1" applyAlignment="1">
      <alignment/>
    </xf>
    <xf numFmtId="4" fontId="2" fillId="0" borderId="0" xfId="0" applyNumberFormat="1" applyFont="1" applyFill="1" applyBorder="1" applyAlignment="1">
      <alignment/>
    </xf>
    <xf numFmtId="4" fontId="2" fillId="0" borderId="12" xfId="0" applyNumberFormat="1" applyFont="1" applyFill="1" applyBorder="1" applyAlignment="1">
      <alignment/>
    </xf>
    <xf numFmtId="4" fontId="2" fillId="0" borderId="22" xfId="0" applyNumberFormat="1" applyFont="1" applyFill="1" applyBorder="1" applyAlignment="1">
      <alignment/>
    </xf>
    <xf numFmtId="4" fontId="2" fillId="0" borderId="14" xfId="0" applyNumberFormat="1" applyFont="1" applyFill="1" applyBorder="1" applyAlignment="1">
      <alignment/>
    </xf>
    <xf numFmtId="0" fontId="3" fillId="0" borderId="0" xfId="0" applyFont="1" applyBorder="1" applyAlignment="1">
      <alignment/>
    </xf>
    <xf numFmtId="0" fontId="3" fillId="0" borderId="12" xfId="0" applyFont="1" applyBorder="1" applyAlignment="1">
      <alignment/>
    </xf>
    <xf numFmtId="0" fontId="3" fillId="0" borderId="21" xfId="0" applyFont="1" applyBorder="1" applyAlignment="1">
      <alignment/>
    </xf>
    <xf numFmtId="3" fontId="3" fillId="0" borderId="10" xfId="0" applyNumberFormat="1" applyFont="1" applyBorder="1" applyAlignment="1">
      <alignment/>
    </xf>
    <xf numFmtId="3" fontId="3" fillId="0" borderId="18" xfId="0" applyNumberFormat="1" applyFont="1" applyBorder="1" applyAlignment="1">
      <alignment/>
    </xf>
    <xf numFmtId="0" fontId="3" fillId="26" borderId="10" xfId="0" applyFont="1" applyFill="1" applyBorder="1" applyAlignment="1">
      <alignment/>
    </xf>
    <xf numFmtId="3" fontId="3" fillId="26" borderId="10" xfId="0" applyNumberFormat="1" applyFont="1" applyFill="1" applyBorder="1" applyAlignment="1">
      <alignment/>
    </xf>
    <xf numFmtId="0" fontId="4" fillId="0" borderId="0" xfId="0" applyFont="1" applyBorder="1" applyAlignment="1">
      <alignment/>
    </xf>
    <xf numFmtId="0" fontId="5" fillId="0" borderId="0" xfId="0" applyFont="1" applyBorder="1" applyAlignment="1">
      <alignment/>
    </xf>
    <xf numFmtId="0" fontId="11" fillId="0" borderId="0" xfId="0" applyFont="1"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xf numFmtId="0" fontId="3" fillId="27" borderId="0" xfId="0" applyFont="1" applyFill="1" applyAlignment="1">
      <alignment/>
    </xf>
    <xf numFmtId="0" fontId="0" fillId="0" borderId="25" xfId="0" applyBorder="1" applyAlignment="1">
      <alignment/>
    </xf>
    <xf numFmtId="4" fontId="2" fillId="0" borderId="18" xfId="0" applyNumberFormat="1" applyFont="1" applyBorder="1" applyAlignment="1">
      <alignment/>
    </xf>
    <xf numFmtId="0" fontId="0" fillId="0" borderId="26" xfId="0" applyBorder="1" applyAlignment="1">
      <alignment/>
    </xf>
    <xf numFmtId="0" fontId="4" fillId="7" borderId="16" xfId="0" applyFont="1" applyFill="1" applyBorder="1" applyAlignment="1">
      <alignment horizontal="center"/>
    </xf>
    <xf numFmtId="0" fontId="4" fillId="7" borderId="10" xfId="0" applyFont="1" applyFill="1" applyBorder="1" applyAlignment="1">
      <alignment/>
    </xf>
    <xf numFmtId="0" fontId="4" fillId="7" borderId="10" xfId="0" applyFont="1" applyFill="1" applyBorder="1" applyAlignment="1">
      <alignment horizontal="center"/>
    </xf>
    <xf numFmtId="4" fontId="2" fillId="0" borderId="27" xfId="0" applyNumberFormat="1" applyFont="1" applyFill="1" applyBorder="1" applyAlignment="1">
      <alignment/>
    </xf>
    <xf numFmtId="0" fontId="13" fillId="0" borderId="0" xfId="0" applyFont="1" applyAlignment="1">
      <alignment/>
    </xf>
    <xf numFmtId="0" fontId="3" fillId="26" borderId="0" xfId="0" applyFont="1" applyFill="1" applyAlignment="1" applyProtection="1">
      <alignment/>
      <protection locked="0"/>
    </xf>
    <xf numFmtId="0" fontId="3" fillId="25" borderId="0" xfId="0" applyFont="1" applyFill="1" applyAlignment="1">
      <alignment/>
    </xf>
    <xf numFmtId="0" fontId="3" fillId="0" borderId="0" xfId="0" applyFont="1" applyAlignment="1">
      <alignment horizontal="center"/>
    </xf>
    <xf numFmtId="0" fontId="3" fillId="24" borderId="0" xfId="0" applyFont="1" applyFill="1" applyAlignment="1">
      <alignment/>
    </xf>
    <xf numFmtId="0" fontId="3" fillId="0" borderId="0" xfId="0" applyFont="1" applyAlignment="1" applyProtection="1">
      <alignment/>
      <protection/>
    </xf>
    <xf numFmtId="0" fontId="3" fillId="0" borderId="0" xfId="0" applyFont="1" applyFill="1" applyAlignment="1">
      <alignment/>
    </xf>
    <xf numFmtId="0" fontId="3" fillId="24" borderId="0" xfId="0" applyFont="1" applyFill="1" applyAlignment="1" applyProtection="1">
      <alignment/>
      <protection locked="0"/>
    </xf>
    <xf numFmtId="0" fontId="0" fillId="0" borderId="0" xfId="0" applyFont="1" applyAlignment="1">
      <alignment/>
    </xf>
    <xf numFmtId="4" fontId="0" fillId="4" borderId="0" xfId="0" applyNumberFormat="1" applyFill="1" applyAlignment="1" applyProtection="1">
      <alignment/>
      <protection locked="0"/>
    </xf>
    <xf numFmtId="4" fontId="1" fillId="0" borderId="28" xfId="0" applyNumberFormat="1" applyFont="1" applyBorder="1" applyAlignment="1">
      <alignment/>
    </xf>
    <xf numFmtId="4" fontId="1" fillId="22" borderId="28" xfId="0" applyNumberFormat="1" applyFont="1" applyFill="1" applyBorder="1" applyAlignment="1">
      <alignment/>
    </xf>
    <xf numFmtId="167" fontId="0" fillId="0" borderId="0" xfId="0" applyNumberFormat="1" applyAlignment="1">
      <alignment/>
    </xf>
    <xf numFmtId="0" fontId="3" fillId="22" borderId="0" xfId="0" applyFont="1" applyFill="1" applyAlignment="1" applyProtection="1">
      <alignment/>
      <protection locked="0"/>
    </xf>
    <xf numFmtId="3" fontId="3" fillId="22" borderId="0" xfId="0" applyNumberFormat="1" applyFont="1" applyFill="1" applyAlignment="1" applyProtection="1">
      <alignment/>
      <protection locked="0"/>
    </xf>
    <xf numFmtId="3" fontId="3" fillId="27" borderId="0" xfId="0" applyNumberFormat="1" applyFont="1" applyFill="1" applyAlignment="1" applyProtection="1">
      <alignment/>
      <protection/>
    </xf>
    <xf numFmtId="3" fontId="3" fillId="27" borderId="0" xfId="0" applyNumberFormat="1" applyFont="1" applyFill="1" applyAlignment="1" applyProtection="1">
      <alignment/>
      <protection hidden="1"/>
    </xf>
    <xf numFmtId="3" fontId="2" fillId="27" borderId="0" xfId="0" applyNumberFormat="1" applyFont="1" applyFill="1" applyAlignment="1">
      <alignment/>
    </xf>
    <xf numFmtId="2" fontId="0" fillId="26" borderId="0" xfId="0" applyNumberFormat="1" applyFill="1" applyAlignment="1">
      <alignment/>
    </xf>
    <xf numFmtId="10" fontId="0" fillId="3" borderId="0" xfId="0" applyNumberFormat="1" applyFill="1" applyAlignment="1">
      <alignment/>
    </xf>
    <xf numFmtId="2" fontId="1" fillId="0" borderId="0" xfId="0" applyNumberFormat="1" applyFont="1" applyFill="1" applyAlignment="1">
      <alignment/>
    </xf>
    <xf numFmtId="0" fontId="1" fillId="27" borderId="0" xfId="0" applyFont="1" applyFill="1" applyAlignment="1">
      <alignment/>
    </xf>
    <xf numFmtId="0" fontId="0" fillId="27" borderId="0" xfId="0" applyFill="1" applyAlignment="1">
      <alignment/>
    </xf>
    <xf numFmtId="2" fontId="0" fillId="27" borderId="0" xfId="0" applyNumberFormat="1" applyFill="1" applyAlignment="1">
      <alignment/>
    </xf>
    <xf numFmtId="9" fontId="0" fillId="26" borderId="0" xfId="0" applyNumberFormat="1" applyFill="1" applyAlignment="1">
      <alignment/>
    </xf>
    <xf numFmtId="0" fontId="1" fillId="0" borderId="0" xfId="0" applyFont="1" applyAlignment="1">
      <alignment horizontal="center"/>
    </xf>
    <xf numFmtId="4" fontId="1" fillId="0" borderId="0" xfId="0" applyNumberFormat="1" applyFont="1" applyBorder="1" applyAlignment="1">
      <alignment/>
    </xf>
    <xf numFmtId="4" fontId="1" fillId="26" borderId="29" xfId="0" applyNumberFormat="1" applyFont="1" applyFill="1" applyBorder="1" applyAlignment="1" applyProtection="1">
      <alignment/>
      <protection locked="0"/>
    </xf>
    <xf numFmtId="0" fontId="12" fillId="27" borderId="0" xfId="0" applyFont="1" applyFill="1" applyAlignment="1">
      <alignment/>
    </xf>
    <xf numFmtId="4" fontId="2" fillId="27" borderId="0" xfId="0" applyNumberFormat="1" applyFont="1" applyFill="1" applyBorder="1" applyAlignment="1">
      <alignment/>
    </xf>
    <xf numFmtId="167" fontId="2" fillId="26" borderId="24" xfId="0" applyNumberFormat="1" applyFont="1" applyFill="1" applyBorder="1" applyAlignment="1">
      <alignment/>
    </xf>
    <xf numFmtId="167" fontId="2" fillId="26" borderId="25" xfId="0" applyNumberFormat="1" applyFont="1" applyFill="1" applyBorder="1" applyAlignment="1">
      <alignment/>
    </xf>
    <xf numFmtId="168" fontId="0" fillId="28" borderId="0" xfId="0" applyNumberFormat="1" applyFont="1" applyFill="1" applyAlignment="1">
      <alignment/>
    </xf>
    <xf numFmtId="3" fontId="3" fillId="22" borderId="30" xfId="0" applyNumberFormat="1" applyFont="1" applyFill="1" applyBorder="1" applyAlignment="1" applyProtection="1">
      <alignment/>
      <protection locked="0"/>
    </xf>
    <xf numFmtId="0" fontId="3" fillId="22" borderId="30" xfId="0" applyFont="1" applyFill="1" applyBorder="1" applyAlignment="1" applyProtection="1">
      <alignment/>
      <protection locked="0"/>
    </xf>
    <xf numFmtId="2" fontId="0" fillId="10" borderId="0" xfId="0" applyNumberFormat="1" applyFill="1" applyAlignment="1">
      <alignment/>
    </xf>
    <xf numFmtId="2" fontId="1" fillId="10" borderId="0" xfId="0" applyNumberFormat="1" applyFont="1" applyFill="1" applyAlignment="1">
      <alignment/>
    </xf>
    <xf numFmtId="0" fontId="0" fillId="0" borderId="0" xfId="0" applyAlignment="1">
      <alignment horizontal="right"/>
    </xf>
    <xf numFmtId="0" fontId="15" fillId="26" borderId="0" xfId="0" applyFont="1" applyFill="1" applyAlignment="1" applyProtection="1">
      <alignment/>
      <protection locked="0"/>
    </xf>
    <xf numFmtId="0" fontId="11" fillId="26" borderId="0" xfId="0" applyFont="1" applyFill="1" applyAlignment="1" applyProtection="1">
      <alignment/>
      <protection locked="0"/>
    </xf>
    <xf numFmtId="4" fontId="0" fillId="27" borderId="0" xfId="0" applyNumberFormat="1" applyFill="1" applyAlignment="1" applyProtection="1">
      <alignment/>
      <protection locked="0"/>
    </xf>
    <xf numFmtId="2" fontId="0" fillId="0" borderId="0" xfId="0" applyNumberFormat="1" applyFill="1" applyAlignment="1">
      <alignment/>
    </xf>
    <xf numFmtId="0" fontId="2" fillId="0" borderId="31" xfId="0" applyFont="1" applyBorder="1" applyAlignment="1" applyProtection="1">
      <alignment/>
      <protection locked="0"/>
    </xf>
    <xf numFmtId="0" fontId="0" fillId="0" borderId="0" xfId="0" applyAlignment="1" applyProtection="1">
      <alignment/>
      <protection hidden="1"/>
    </xf>
    <xf numFmtId="0" fontId="1" fillId="24" borderId="0" xfId="0" applyFont="1" applyFill="1" applyAlignment="1" applyProtection="1">
      <alignment/>
      <protection hidden="1"/>
    </xf>
    <xf numFmtId="0" fontId="0" fillId="24" borderId="0" xfId="0" applyFill="1" applyAlignment="1" applyProtection="1">
      <alignment/>
      <protection hidden="1"/>
    </xf>
    <xf numFmtId="2" fontId="0" fillId="0" borderId="0" xfId="0" applyNumberFormat="1" applyAlignment="1" applyProtection="1">
      <alignment/>
      <protection hidden="1"/>
    </xf>
    <xf numFmtId="2" fontId="0" fillId="0" borderId="0" xfId="0" applyNumberFormat="1" applyFill="1" applyAlignment="1" applyProtection="1">
      <alignment/>
      <protection hidden="1"/>
    </xf>
    <xf numFmtId="0" fontId="1" fillId="0" borderId="0" xfId="0" applyFont="1" applyAlignment="1" applyProtection="1">
      <alignment/>
      <protection hidden="1"/>
    </xf>
    <xf numFmtId="2" fontId="1" fillId="0" borderId="0" xfId="0" applyNumberFormat="1" applyFont="1" applyAlignment="1" applyProtection="1">
      <alignment/>
      <protection hidden="1"/>
    </xf>
    <xf numFmtId="2" fontId="0" fillId="0" borderId="32" xfId="0" applyNumberFormat="1" applyBorder="1" applyAlignment="1" applyProtection="1">
      <alignment/>
      <protection hidden="1"/>
    </xf>
    <xf numFmtId="0" fontId="1" fillId="0" borderId="0" xfId="0" applyFont="1" applyAlignment="1" applyProtection="1">
      <alignment horizontal="center"/>
      <protection hidden="1"/>
    </xf>
    <xf numFmtId="9" fontId="0" fillId="0" borderId="0" xfId="0" applyNumberFormat="1" applyAlignment="1" applyProtection="1">
      <alignment/>
      <protection hidden="1"/>
    </xf>
    <xf numFmtId="2" fontId="0" fillId="26" borderId="0" xfId="0" applyNumberFormat="1" applyFill="1" applyAlignment="1" applyProtection="1">
      <alignment/>
      <protection hidden="1"/>
    </xf>
    <xf numFmtId="10" fontId="0" fillId="0" borderId="0" xfId="0" applyNumberFormat="1" applyAlignment="1" applyProtection="1">
      <alignment/>
      <protection hidden="1"/>
    </xf>
    <xf numFmtId="2" fontId="1" fillId="26" borderId="29" xfId="0" applyNumberFormat="1" applyFont="1" applyFill="1" applyBorder="1" applyAlignment="1" applyProtection="1">
      <alignment/>
      <protection hidden="1"/>
    </xf>
    <xf numFmtId="2" fontId="0" fillId="24" borderId="0" xfId="0" applyNumberFormat="1" applyFill="1" applyAlignment="1" applyProtection="1">
      <alignment/>
      <protection hidden="1"/>
    </xf>
    <xf numFmtId="0" fontId="0" fillId="0" borderId="0" xfId="0" applyNumberFormat="1" applyAlignment="1" applyProtection="1">
      <alignment/>
      <protection hidden="1"/>
    </xf>
    <xf numFmtId="2" fontId="0" fillId="4" borderId="0" xfId="0" applyNumberFormat="1" applyFill="1" applyAlignment="1" applyProtection="1">
      <alignment/>
      <protection hidden="1"/>
    </xf>
    <xf numFmtId="2" fontId="1" fillId="0" borderId="32" xfId="0" applyNumberFormat="1" applyFont="1" applyFill="1" applyBorder="1" applyAlignment="1" applyProtection="1">
      <alignment/>
      <protection hidden="1"/>
    </xf>
    <xf numFmtId="2" fontId="0" fillId="0" borderId="21" xfId="0" applyNumberFormat="1" applyBorder="1" applyAlignment="1" applyProtection="1">
      <alignment/>
      <protection hidden="1"/>
    </xf>
    <xf numFmtId="2" fontId="16" fillId="0" borderId="0" xfId="0" applyNumberFormat="1" applyFont="1" applyAlignment="1" applyProtection="1">
      <alignment/>
      <protection hidden="1"/>
    </xf>
    <xf numFmtId="9" fontId="1" fillId="0" borderId="0" xfId="0" applyNumberFormat="1" applyFont="1" applyAlignment="1" applyProtection="1">
      <alignment/>
      <protection hidden="1"/>
    </xf>
    <xf numFmtId="2" fontId="0" fillId="26" borderId="29" xfId="0" applyNumberFormat="1" applyFill="1" applyBorder="1" applyAlignment="1" applyProtection="1">
      <alignment/>
      <protection hidden="1"/>
    </xf>
    <xf numFmtId="2" fontId="1" fillId="0" borderId="0" xfId="0" applyNumberFormat="1" applyFont="1" applyFill="1" applyAlignment="1" applyProtection="1">
      <alignment/>
      <protection hidden="1"/>
    </xf>
    <xf numFmtId="2" fontId="0" fillId="7" borderId="0" xfId="0" applyNumberFormat="1" applyFill="1" applyAlignment="1" applyProtection="1">
      <alignment/>
      <protection hidden="1"/>
    </xf>
    <xf numFmtId="2" fontId="1" fillId="0" borderId="32" xfId="0" applyNumberFormat="1" applyFont="1" applyBorder="1" applyAlignment="1" applyProtection="1">
      <alignment/>
      <protection hidden="1"/>
    </xf>
    <xf numFmtId="0" fontId="0" fillId="26" borderId="0" xfId="0" applyFill="1" applyAlignment="1" applyProtection="1">
      <alignment/>
      <protection hidden="1"/>
    </xf>
    <xf numFmtId="0" fontId="16" fillId="0" borderId="0" xfId="0" applyFont="1" applyAlignment="1">
      <alignment/>
    </xf>
    <xf numFmtId="1" fontId="0" fillId="0" borderId="0" xfId="0" applyNumberFormat="1" applyAlignment="1">
      <alignment/>
    </xf>
    <xf numFmtId="0" fontId="17" fillId="0" borderId="0" xfId="0" applyFont="1" applyAlignment="1">
      <alignment/>
    </xf>
    <xf numFmtId="3" fontId="0" fillId="0" borderId="0" xfId="0" applyNumberFormat="1" applyAlignment="1">
      <alignment/>
    </xf>
    <xf numFmtId="1" fontId="0" fillId="24" borderId="0" xfId="0" applyNumberFormat="1" applyFill="1" applyAlignment="1">
      <alignment/>
    </xf>
    <xf numFmtId="2" fontId="0" fillId="0" borderId="0" xfId="0" applyNumberFormat="1" applyAlignment="1">
      <alignment horizontal="right"/>
    </xf>
    <xf numFmtId="0" fontId="18" fillId="0" borderId="0" xfId="0" applyFont="1" applyAlignment="1">
      <alignment/>
    </xf>
    <xf numFmtId="171" fontId="0" fillId="0" borderId="0" xfId="0" applyNumberFormat="1" applyAlignment="1">
      <alignment/>
    </xf>
    <xf numFmtId="0" fontId="0" fillId="0" borderId="16" xfId="0" applyFont="1" applyBorder="1" applyAlignment="1">
      <alignment/>
    </xf>
    <xf numFmtId="0" fontId="0" fillId="22" borderId="10" xfId="0" applyFill="1" applyBorder="1" applyAlignment="1" applyProtection="1">
      <alignment/>
      <protection locked="0"/>
    </xf>
    <xf numFmtId="0" fontId="0" fillId="0" borderId="10" xfId="0" applyFont="1" applyBorder="1" applyAlignment="1" applyProtection="1">
      <alignment/>
      <protection locked="0"/>
    </xf>
    <xf numFmtId="0" fontId="0" fillId="22" borderId="18" xfId="0" applyFill="1" applyBorder="1" applyAlignment="1" applyProtection="1">
      <alignment/>
      <protection locked="0"/>
    </xf>
    <xf numFmtId="4" fontId="2" fillId="27" borderId="0" xfId="0" applyNumberFormat="1" applyFont="1" applyFill="1" applyAlignment="1">
      <alignment/>
    </xf>
    <xf numFmtId="0" fontId="21" fillId="0" borderId="0" xfId="0" applyFont="1" applyAlignment="1">
      <alignment/>
    </xf>
    <xf numFmtId="175" fontId="0" fillId="0" borderId="0" xfId="0" applyNumberFormat="1" applyAlignment="1">
      <alignment/>
    </xf>
    <xf numFmtId="0" fontId="22" fillId="0" borderId="0" xfId="0" applyFont="1" applyAlignment="1">
      <alignment/>
    </xf>
    <xf numFmtId="4" fontId="13" fillId="0" borderId="0" xfId="0" applyNumberFormat="1" applyFont="1" applyAlignment="1">
      <alignment/>
    </xf>
    <xf numFmtId="2" fontId="13" fillId="0" borderId="0" xfId="0" applyNumberFormat="1" applyFont="1" applyAlignment="1">
      <alignment/>
    </xf>
    <xf numFmtId="0" fontId="40" fillId="28" borderId="0" xfId="58" applyFont="1" applyFill="1">
      <alignment/>
      <protection/>
    </xf>
    <xf numFmtId="0" fontId="0" fillId="0" borderId="0" xfId="58">
      <alignment/>
      <protection/>
    </xf>
    <xf numFmtId="2" fontId="0" fillId="0" borderId="0" xfId="58" applyNumberFormat="1">
      <alignment/>
      <protection/>
    </xf>
    <xf numFmtId="0" fontId="41" fillId="28" borderId="0" xfId="58" applyFont="1" applyFill="1" applyBorder="1">
      <alignment/>
      <protection/>
    </xf>
    <xf numFmtId="0" fontId="41" fillId="28" borderId="0" xfId="58" applyFont="1" applyFill="1" applyBorder="1" applyAlignment="1">
      <alignment horizontal="right"/>
      <protection/>
    </xf>
    <xf numFmtId="0" fontId="40" fillId="28" borderId="21" xfId="58" applyFont="1" applyFill="1" applyBorder="1">
      <alignment/>
      <protection/>
    </xf>
    <xf numFmtId="0" fontId="42" fillId="28" borderId="0" xfId="58" applyFont="1" applyFill="1">
      <alignment/>
      <protection/>
    </xf>
    <xf numFmtId="0" fontId="40" fillId="28" borderId="0" xfId="58" applyFont="1" applyFill="1" applyAlignment="1">
      <alignment horizontal="left" vertical="center"/>
      <protection/>
    </xf>
    <xf numFmtId="0" fontId="40" fillId="28" borderId="0" xfId="58" applyFont="1" applyFill="1" applyAlignment="1">
      <alignment vertical="center"/>
      <protection/>
    </xf>
    <xf numFmtId="0" fontId="23" fillId="0" borderId="0" xfId="57">
      <alignment/>
      <protection/>
    </xf>
    <xf numFmtId="0" fontId="40" fillId="28" borderId="0" xfId="58" applyFont="1" applyFill="1" applyBorder="1">
      <alignment/>
      <protection/>
    </xf>
    <xf numFmtId="0" fontId="40" fillId="28" borderId="0" xfId="58" applyFont="1" applyFill="1" applyBorder="1" applyAlignment="1">
      <alignment horizontal="right"/>
      <protection/>
    </xf>
    <xf numFmtId="0" fontId="0" fillId="0" borderId="0" xfId="58" applyNumberFormat="1">
      <alignment/>
      <protection/>
    </xf>
    <xf numFmtId="0" fontId="0" fillId="0" borderId="0" xfId="58" applyProtection="1">
      <alignment/>
      <protection locked="0"/>
    </xf>
    <xf numFmtId="0" fontId="0" fillId="0" borderId="0" xfId="58" applyNumberFormat="1" applyFont="1" applyProtection="1">
      <alignment/>
      <protection locked="0"/>
    </xf>
    <xf numFmtId="0" fontId="0" fillId="0" borderId="0" xfId="58" applyFont="1" applyProtection="1">
      <alignment/>
      <protection locked="0"/>
    </xf>
    <xf numFmtId="171" fontId="0" fillId="0" borderId="0" xfId="0" applyNumberFormat="1" applyAlignment="1">
      <alignment horizontal="right"/>
    </xf>
    <xf numFmtId="0" fontId="0" fillId="0" borderId="0" xfId="0" applyAlignment="1">
      <alignment wrapText="1"/>
    </xf>
    <xf numFmtId="10" fontId="0" fillId="24" borderId="0" xfId="0" applyNumberFormat="1" applyFill="1" applyAlignment="1">
      <alignment/>
    </xf>
    <xf numFmtId="9" fontId="0" fillId="24" borderId="0" xfId="0" applyNumberFormat="1" applyFill="1" applyAlignment="1">
      <alignment/>
    </xf>
    <xf numFmtId="2" fontId="0" fillId="4" borderId="0" xfId="0" applyNumberFormat="1" applyFill="1" applyAlignment="1">
      <alignment/>
    </xf>
    <xf numFmtId="171" fontId="0" fillId="24" borderId="0" xfId="0" applyNumberFormat="1" applyFill="1" applyAlignment="1">
      <alignment/>
    </xf>
    <xf numFmtId="10" fontId="0" fillId="14" borderId="0" xfId="0" applyNumberFormat="1" applyFill="1" applyAlignment="1">
      <alignment/>
    </xf>
    <xf numFmtId="2" fontId="0" fillId="0" borderId="0" xfId="0" applyNumberFormat="1" applyFont="1" applyAlignment="1">
      <alignment/>
    </xf>
    <xf numFmtId="10" fontId="0" fillId="0" borderId="0" xfId="0" applyNumberFormat="1" applyFont="1" applyAlignment="1">
      <alignment/>
    </xf>
    <xf numFmtId="2" fontId="2" fillId="0" borderId="11" xfId="0" applyNumberFormat="1" applyFont="1" applyBorder="1" applyAlignment="1">
      <alignment/>
    </xf>
    <xf numFmtId="0" fontId="0" fillId="0" borderId="0" xfId="58" applyNumberFormat="1" applyFont="1" applyProtection="1">
      <alignment/>
      <protection locked="0"/>
    </xf>
    <xf numFmtId="9" fontId="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NumberFormat="1" applyFont="1" applyAlignment="1">
      <alignment/>
    </xf>
    <xf numFmtId="9" fontId="0" fillId="3" borderId="0" xfId="0" applyNumberFormat="1" applyFill="1" applyAlignment="1">
      <alignment/>
    </xf>
    <xf numFmtId="0" fontId="0" fillId="3" borderId="0" xfId="0" applyFill="1" applyAlignment="1">
      <alignment/>
    </xf>
    <xf numFmtId="2" fontId="0" fillId="3" borderId="0" xfId="0" applyNumberFormat="1" applyFill="1" applyAlignment="1">
      <alignment/>
    </xf>
    <xf numFmtId="2" fontId="0" fillId="3" borderId="0" xfId="0" applyNumberFormat="1" applyFont="1" applyFill="1" applyAlignment="1">
      <alignment/>
    </xf>
    <xf numFmtId="0" fontId="0" fillId="3" borderId="0" xfId="0" applyNumberFormat="1" applyFill="1" applyAlignment="1">
      <alignment/>
    </xf>
    <xf numFmtId="0" fontId="0" fillId="3" borderId="0" xfId="0" applyNumberFormat="1" applyFont="1" applyFill="1" applyAlignment="1">
      <alignment/>
    </xf>
    <xf numFmtId="0" fontId="0" fillId="3" borderId="0" xfId="0" applyFont="1" applyFill="1" applyAlignment="1">
      <alignment/>
    </xf>
    <xf numFmtId="2" fontId="0" fillId="0" borderId="0" xfId="0" applyNumberFormat="1" applyFont="1" applyAlignment="1" applyProtection="1">
      <alignment/>
      <protection hidden="1"/>
    </xf>
    <xf numFmtId="16" fontId="0" fillId="0" borderId="0" xfId="0" applyNumberFormat="1" applyFont="1" applyAlignment="1">
      <alignment/>
    </xf>
    <xf numFmtId="174" fontId="0" fillId="26" borderId="0" xfId="0" applyNumberFormat="1" applyFill="1" applyAlignment="1">
      <alignment/>
    </xf>
    <xf numFmtId="0" fontId="0" fillId="14" borderId="0" xfId="0" applyFill="1" applyAlignment="1">
      <alignment/>
    </xf>
    <xf numFmtId="2" fontId="0" fillId="14" borderId="0" xfId="0" applyNumberFormat="1" applyFill="1" applyAlignment="1">
      <alignment/>
    </xf>
    <xf numFmtId="2" fontId="0" fillId="14" borderId="0" xfId="0" applyNumberFormat="1" applyFont="1" applyFill="1" applyAlignment="1">
      <alignment/>
    </xf>
    <xf numFmtId="0" fontId="0" fillId="26" borderId="33" xfId="0" applyFill="1" applyBorder="1" applyAlignment="1">
      <alignment/>
    </xf>
    <xf numFmtId="0" fontId="0" fillId="26" borderId="32" xfId="0" applyFill="1" applyBorder="1" applyAlignment="1">
      <alignment/>
    </xf>
    <xf numFmtId="2" fontId="0" fillId="26" borderId="32" xfId="0" applyNumberFormat="1" applyFill="1" applyBorder="1" applyAlignment="1">
      <alignment/>
    </xf>
    <xf numFmtId="2" fontId="0" fillId="10" borderId="32" xfId="0" applyNumberFormat="1" applyFill="1" applyBorder="1" applyAlignment="1">
      <alignment/>
    </xf>
    <xf numFmtId="0" fontId="0" fillId="0" borderId="32" xfId="0" applyBorder="1" applyAlignment="1">
      <alignment/>
    </xf>
    <xf numFmtId="0" fontId="0" fillId="0" borderId="15" xfId="0" applyBorder="1" applyAlignment="1">
      <alignment/>
    </xf>
    <xf numFmtId="0" fontId="1" fillId="0" borderId="0" xfId="0" applyFont="1" applyBorder="1" applyAlignment="1">
      <alignment/>
    </xf>
    <xf numFmtId="0" fontId="0" fillId="0" borderId="0" xfId="0" applyBorder="1" applyAlignment="1">
      <alignment/>
    </xf>
    <xf numFmtId="2" fontId="0" fillId="0" borderId="0" xfId="0" applyNumberFormat="1" applyBorder="1" applyAlignment="1">
      <alignment/>
    </xf>
    <xf numFmtId="2" fontId="0" fillId="10" borderId="0" xfId="0" applyNumberFormat="1" applyFill="1" applyBorder="1" applyAlignment="1">
      <alignment/>
    </xf>
    <xf numFmtId="0" fontId="0" fillId="0" borderId="12" xfId="0" applyBorder="1" applyAlignment="1">
      <alignment/>
    </xf>
    <xf numFmtId="2" fontId="0" fillId="24" borderId="0" xfId="0" applyNumberFormat="1" applyFill="1" applyBorder="1" applyAlignment="1">
      <alignment/>
    </xf>
    <xf numFmtId="0" fontId="0" fillId="0" borderId="0" xfId="0" applyNumberFormat="1" applyBorder="1" applyAlignment="1">
      <alignment/>
    </xf>
    <xf numFmtId="2" fontId="0" fillId="0" borderId="12" xfId="0" applyNumberFormat="1" applyBorder="1" applyAlignment="1">
      <alignment/>
    </xf>
    <xf numFmtId="2" fontId="0" fillId="26" borderId="0" xfId="0" applyNumberFormat="1" applyFill="1" applyBorder="1" applyAlignment="1">
      <alignment/>
    </xf>
    <xf numFmtId="2" fontId="1" fillId="0" borderId="0" xfId="0" applyNumberFormat="1" applyFont="1" applyBorder="1" applyAlignment="1">
      <alignment/>
    </xf>
    <xf numFmtId="2" fontId="1" fillId="0" borderId="12" xfId="0" applyNumberFormat="1" applyFont="1" applyBorder="1" applyAlignment="1">
      <alignment/>
    </xf>
    <xf numFmtId="9" fontId="0" fillId="0" borderId="0" xfId="0" applyNumberFormat="1" applyBorder="1" applyAlignment="1">
      <alignment/>
    </xf>
    <xf numFmtId="2" fontId="1" fillId="0" borderId="0" xfId="0" applyNumberFormat="1" applyFont="1" applyFill="1" applyBorder="1" applyAlignment="1">
      <alignment/>
    </xf>
    <xf numFmtId="0" fontId="0" fillId="26" borderId="0" xfId="0" applyFill="1" applyBorder="1" applyAlignment="1">
      <alignment/>
    </xf>
    <xf numFmtId="2" fontId="1" fillId="10" borderId="0" xfId="0" applyNumberFormat="1" applyFont="1" applyFill="1" applyBorder="1" applyAlignment="1">
      <alignment/>
    </xf>
    <xf numFmtId="0" fontId="0" fillId="0" borderId="13" xfId="0" applyBorder="1" applyAlignment="1">
      <alignment/>
    </xf>
    <xf numFmtId="0" fontId="0" fillId="0" borderId="21" xfId="0" applyBorder="1" applyAlignment="1">
      <alignment/>
    </xf>
    <xf numFmtId="2" fontId="0" fillId="0" borderId="21" xfId="0" applyNumberFormat="1" applyBorder="1" applyAlignment="1">
      <alignment/>
    </xf>
    <xf numFmtId="2" fontId="0" fillId="10" borderId="21" xfId="0" applyNumberFormat="1" applyFill="1" applyBorder="1" applyAlignment="1">
      <alignment/>
    </xf>
    <xf numFmtId="0" fontId="0" fillId="0" borderId="14" xfId="0" applyBorder="1" applyAlignment="1">
      <alignment/>
    </xf>
    <xf numFmtId="10" fontId="0" fillId="28" borderId="0" xfId="0" applyNumberFormat="1" applyFont="1" applyFill="1" applyAlignment="1">
      <alignment/>
    </xf>
    <xf numFmtId="0" fontId="0" fillId="29" borderId="0" xfId="0" applyFill="1" applyAlignment="1">
      <alignment/>
    </xf>
    <xf numFmtId="9" fontId="0" fillId="29" borderId="0" xfId="0" applyNumberFormat="1" applyFill="1" applyAlignment="1">
      <alignment/>
    </xf>
    <xf numFmtId="10" fontId="0" fillId="29" borderId="0" xfId="0" applyNumberFormat="1" applyFill="1" applyAlignment="1">
      <alignment/>
    </xf>
    <xf numFmtId="2" fontId="0" fillId="29" borderId="0" xfId="0" applyNumberFormat="1" applyFill="1" applyAlignment="1">
      <alignment/>
    </xf>
    <xf numFmtId="0" fontId="56" fillId="0" borderId="0" xfId="0" applyFont="1" applyAlignment="1" applyProtection="1">
      <alignment/>
      <protection/>
    </xf>
    <xf numFmtId="3" fontId="57" fillId="0" borderId="30" xfId="0" applyNumberFormat="1" applyFont="1" applyFill="1" applyBorder="1" applyAlignment="1" applyProtection="1">
      <alignment/>
      <protection/>
    </xf>
    <xf numFmtId="0" fontId="57" fillId="0" borderId="0" xfId="0" applyFont="1" applyAlignment="1" applyProtection="1">
      <alignment/>
      <protection/>
    </xf>
    <xf numFmtId="3" fontId="57" fillId="0" borderId="0" xfId="0" applyNumberFormat="1" applyFont="1" applyFill="1" applyAlignment="1" applyProtection="1">
      <alignment/>
      <protection/>
    </xf>
    <xf numFmtId="0" fontId="19" fillId="0" borderId="0" xfId="0" applyFont="1" applyAlignment="1" applyProtection="1">
      <alignment/>
      <protection/>
    </xf>
    <xf numFmtId="4" fontId="2" fillId="0" borderId="10" xfId="0" applyNumberFormat="1" applyFont="1" applyBorder="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58" fillId="0" borderId="0" xfId="0" applyFont="1" applyAlignment="1" applyProtection="1">
      <alignment/>
      <protection/>
    </xf>
    <xf numFmtId="0" fontId="59" fillId="0" borderId="0" xfId="0" applyFont="1" applyAlignment="1" applyProtection="1">
      <alignment/>
      <protection/>
    </xf>
    <xf numFmtId="4" fontId="2" fillId="0" borderId="11" xfId="0" applyNumberFormat="1" applyFont="1" applyBorder="1" applyAlignment="1" applyProtection="1">
      <alignment/>
      <protection locked="0"/>
    </xf>
    <xf numFmtId="0" fontId="0" fillId="30" borderId="0" xfId="0" applyFill="1" applyAlignment="1">
      <alignment/>
    </xf>
    <xf numFmtId="1" fontId="0" fillId="30" borderId="0" xfId="0" applyNumberFormat="1" applyFill="1" applyAlignment="1">
      <alignment/>
    </xf>
    <xf numFmtId="0" fontId="0" fillId="0" borderId="0" xfId="58" applyFont="1">
      <alignment/>
      <protection/>
    </xf>
    <xf numFmtId="0" fontId="60" fillId="31" borderId="0" xfId="0" applyFont="1" applyFill="1" applyAlignment="1">
      <alignment/>
    </xf>
    <xf numFmtId="2" fontId="60" fillId="31" borderId="0" xfId="0" applyNumberFormat="1" applyFont="1" applyFill="1" applyAlignment="1">
      <alignment/>
    </xf>
    <xf numFmtId="0" fontId="0" fillId="31" borderId="0" xfId="0" applyFill="1" applyAlignment="1">
      <alignment/>
    </xf>
    <xf numFmtId="0" fontId="0" fillId="31" borderId="0" xfId="0" applyNumberFormat="1" applyFill="1" applyAlignment="1">
      <alignment/>
    </xf>
    <xf numFmtId="2" fontId="0" fillId="31" borderId="0" xfId="0" applyNumberFormat="1" applyFill="1" applyAlignment="1">
      <alignment/>
    </xf>
    <xf numFmtId="13" fontId="0" fillId="0" borderId="0" xfId="0" applyNumberFormat="1" applyAlignment="1">
      <alignment/>
    </xf>
    <xf numFmtId="2" fontId="0" fillId="30" borderId="0" xfId="0" applyNumberFormat="1" applyFill="1" applyAlignment="1">
      <alignment/>
    </xf>
    <xf numFmtId="0" fontId="61" fillId="0" borderId="0" xfId="0" applyFont="1" applyAlignment="1">
      <alignment/>
    </xf>
    <xf numFmtId="0" fontId="62" fillId="0" borderId="0" xfId="0" applyFont="1" applyAlignment="1">
      <alignment/>
    </xf>
    <xf numFmtId="0" fontId="0" fillId="0" borderId="33" xfId="0" applyBorder="1" applyAlignment="1">
      <alignment/>
    </xf>
    <xf numFmtId="0" fontId="0" fillId="0" borderId="11" xfId="0" applyFont="1" applyBorder="1" applyAlignment="1">
      <alignment/>
    </xf>
    <xf numFmtId="0" fontId="0" fillId="0" borderId="13" xfId="0" applyFont="1" applyBorder="1" applyAlignment="1">
      <alignment/>
    </xf>
    <xf numFmtId="10" fontId="0" fillId="0" borderId="0" xfId="0" applyNumberFormat="1" applyFill="1" applyAlignment="1">
      <alignment/>
    </xf>
    <xf numFmtId="10" fontId="0" fillId="14" borderId="0" xfId="0" applyNumberFormat="1" applyFont="1" applyFill="1" applyAlignment="1">
      <alignment/>
    </xf>
    <xf numFmtId="9" fontId="0" fillId="0" borderId="0" xfId="0" applyNumberFormat="1" applyFont="1" applyAlignment="1">
      <alignment/>
    </xf>
    <xf numFmtId="3" fontId="0" fillId="31" borderId="0" xfId="0" applyNumberFormat="1" applyFill="1" applyAlignment="1" applyProtection="1">
      <alignment/>
      <protection locked="0"/>
    </xf>
    <xf numFmtId="3" fontId="0" fillId="32" borderId="0" xfId="0" applyNumberFormat="1" applyFill="1" applyAlignment="1">
      <alignment/>
    </xf>
    <xf numFmtId="3" fontId="0" fillId="33" borderId="0" xfId="0" applyNumberFormat="1" applyFill="1" applyAlignment="1">
      <alignment/>
    </xf>
    <xf numFmtId="10" fontId="0" fillId="31" borderId="0" xfId="0" applyNumberFormat="1" applyFill="1" applyAlignment="1" applyProtection="1">
      <alignment/>
      <protection locked="0"/>
    </xf>
    <xf numFmtId="3" fontId="0" fillId="34" borderId="0" xfId="0" applyNumberFormat="1" applyFill="1" applyAlignment="1">
      <alignment/>
    </xf>
    <xf numFmtId="4" fontId="2" fillId="0" borderId="34" xfId="0" applyNumberFormat="1" applyFont="1" applyFill="1" applyBorder="1" applyAlignment="1">
      <alignment/>
    </xf>
    <xf numFmtId="4" fontId="2" fillId="31" borderId="35" xfId="0" applyNumberFormat="1" applyFont="1" applyFill="1" applyBorder="1" applyAlignment="1">
      <alignment/>
    </xf>
    <xf numFmtId="0" fontId="0" fillId="0" borderId="0" xfId="0" applyFont="1" applyAlignment="1" applyProtection="1">
      <alignment/>
      <protection locked="0"/>
    </xf>
    <xf numFmtId="3" fontId="0" fillId="0" borderId="0" xfId="0" applyNumberFormat="1" applyAlignment="1" applyProtection="1">
      <alignment/>
      <protection locked="0"/>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2" fontId="60" fillId="0" borderId="0" xfId="0" applyNumberFormat="1" applyFont="1" applyAlignment="1">
      <alignment/>
    </xf>
    <xf numFmtId="2" fontId="63" fillId="0" borderId="0" xfId="0" applyNumberFormat="1" applyFont="1" applyAlignment="1">
      <alignment/>
    </xf>
    <xf numFmtId="0" fontId="63" fillId="0" borderId="0" xfId="0" applyFont="1" applyAlignment="1">
      <alignment/>
    </xf>
    <xf numFmtId="0" fontId="0" fillId="0" borderId="0" xfId="0" applyAlignment="1">
      <alignment horizontal="justify" vertical="top" wrapText="1"/>
    </xf>
    <xf numFmtId="0" fontId="0" fillId="0" borderId="0" xfId="0" applyFont="1" applyAlignment="1">
      <alignment horizontal="right"/>
    </xf>
    <xf numFmtId="4" fontId="1" fillId="0" borderId="0" xfId="0" applyNumberFormat="1" applyFont="1" applyAlignment="1">
      <alignment horizontal="center"/>
    </xf>
    <xf numFmtId="0" fontId="0" fillId="0" borderId="0" xfId="0" applyFont="1" applyAlignment="1" quotePrefix="1">
      <alignment/>
    </xf>
    <xf numFmtId="2" fontId="1" fillId="31" borderId="0" xfId="0" applyNumberFormat="1" applyFont="1" applyFill="1" applyAlignment="1">
      <alignment/>
    </xf>
    <xf numFmtId="0" fontId="47" fillId="0" borderId="0" xfId="58" applyFont="1">
      <alignment/>
      <protection/>
    </xf>
    <xf numFmtId="0" fontId="0" fillId="35" borderId="33" xfId="0" applyFill="1" applyBorder="1" applyAlignment="1">
      <alignment/>
    </xf>
    <xf numFmtId="0" fontId="0" fillId="35" borderId="32" xfId="0" applyFill="1" applyBorder="1" applyAlignment="1">
      <alignment/>
    </xf>
    <xf numFmtId="0" fontId="0" fillId="35" borderId="32" xfId="0" applyNumberFormat="1" applyFill="1" applyBorder="1" applyAlignment="1">
      <alignment/>
    </xf>
    <xf numFmtId="2" fontId="0" fillId="35" borderId="15" xfId="0" applyNumberFormat="1" applyFill="1" applyBorder="1" applyAlignment="1">
      <alignment/>
    </xf>
    <xf numFmtId="0" fontId="0" fillId="35" borderId="11" xfId="0" applyFill="1" applyBorder="1" applyAlignment="1">
      <alignment/>
    </xf>
    <xf numFmtId="0" fontId="0" fillId="35" borderId="0" xfId="0" applyFill="1" applyBorder="1" applyAlignment="1">
      <alignment/>
    </xf>
    <xf numFmtId="0" fontId="0" fillId="35" borderId="0" xfId="0" applyNumberFormat="1" applyFill="1" applyBorder="1" applyAlignment="1">
      <alignment/>
    </xf>
    <xf numFmtId="2" fontId="0" fillId="35" borderId="0" xfId="0" applyNumberFormat="1" applyFill="1" applyBorder="1" applyAlignment="1">
      <alignment/>
    </xf>
    <xf numFmtId="2" fontId="0" fillId="35" borderId="12" xfId="0" applyNumberFormat="1" applyFill="1" applyBorder="1" applyAlignment="1">
      <alignment/>
    </xf>
    <xf numFmtId="2" fontId="0" fillId="35" borderId="11" xfId="0" applyNumberFormat="1" applyFill="1" applyBorder="1" applyAlignment="1">
      <alignment/>
    </xf>
    <xf numFmtId="0" fontId="0" fillId="35" borderId="13" xfId="0" applyFill="1" applyBorder="1" applyAlignment="1">
      <alignment/>
    </xf>
    <xf numFmtId="0" fontId="0" fillId="35" borderId="21" xfId="0" applyFill="1" applyBorder="1" applyAlignment="1">
      <alignment/>
    </xf>
    <xf numFmtId="0" fontId="0" fillId="35" borderId="21" xfId="0" applyFont="1" applyFill="1" applyBorder="1" applyAlignment="1">
      <alignment/>
    </xf>
    <xf numFmtId="2" fontId="0" fillId="35" borderId="21" xfId="0" applyNumberFormat="1" applyFill="1" applyBorder="1" applyAlignment="1">
      <alignment/>
    </xf>
    <xf numFmtId="2" fontId="0" fillId="35" borderId="32" xfId="0" applyNumberFormat="1" applyFill="1" applyBorder="1" applyAlignment="1">
      <alignment/>
    </xf>
    <xf numFmtId="2" fontId="0" fillId="35" borderId="0" xfId="0" applyNumberFormat="1" applyFill="1" applyBorder="1" applyAlignment="1" quotePrefix="1">
      <alignment/>
    </xf>
    <xf numFmtId="2" fontId="0" fillId="35" borderId="14" xfId="0" applyNumberFormat="1" applyFill="1" applyBorder="1" applyAlignment="1">
      <alignment/>
    </xf>
    <xf numFmtId="0" fontId="0" fillId="22" borderId="0" xfId="58" applyNumberFormat="1" applyFont="1" applyFill="1" applyProtection="1">
      <alignment/>
      <protection locked="0"/>
    </xf>
    <xf numFmtId="10" fontId="0" fillId="0" borderId="31" xfId="0" applyNumberFormat="1" applyBorder="1" applyAlignment="1" applyProtection="1">
      <alignment/>
      <protection locked="0"/>
    </xf>
    <xf numFmtId="0" fontId="0" fillId="0" borderId="0" xfId="58" applyNumberFormat="1" applyAlignment="1">
      <alignment horizontal="justify" vertical="top" wrapText="1"/>
      <protection/>
    </xf>
    <xf numFmtId="0" fontId="0" fillId="0" borderId="0" xfId="0" applyAlignment="1">
      <alignment horizontal="justify" vertical="top" wrapText="1"/>
    </xf>
    <xf numFmtId="0" fontId="64" fillId="28" borderId="0" xfId="58" applyFont="1" applyFill="1" applyAlignment="1">
      <alignment horizontal="center" vertical="top" wrapText="1"/>
      <protection/>
    </xf>
    <xf numFmtId="0" fontId="43" fillId="36" borderId="0" xfId="58" applyFont="1" applyFill="1" applyAlignment="1" applyProtection="1">
      <alignment vertical="center"/>
      <protection locked="0"/>
    </xf>
    <xf numFmtId="0" fontId="41" fillId="28" borderId="0" xfId="58" applyFont="1" applyFill="1" applyAlignment="1">
      <alignment horizontal="justify" wrapText="1"/>
      <protection/>
    </xf>
    <xf numFmtId="0" fontId="49" fillId="28" borderId="0" xfId="58" applyFont="1" applyFill="1" applyAlignment="1" applyProtection="1">
      <alignment horizontal="justify" vertical="top" wrapText="1"/>
      <protection locked="0"/>
    </xf>
    <xf numFmtId="0" fontId="41" fillId="28" borderId="0" xfId="58" applyFont="1" applyFill="1" applyAlignment="1" applyProtection="1">
      <alignment horizontal="justify" vertical="top" wrapText="1"/>
      <protection locked="0"/>
    </xf>
    <xf numFmtId="0" fontId="0" fillId="0" borderId="0" xfId="0" applyAlignment="1" applyProtection="1">
      <alignment wrapText="1"/>
      <protection locked="0"/>
    </xf>
    <xf numFmtId="0" fontId="64" fillId="28" borderId="0" xfId="58" applyFont="1" applyFill="1" applyAlignment="1">
      <alignment horizontal="center" wrapText="1"/>
      <protection/>
    </xf>
    <xf numFmtId="0" fontId="0" fillId="0" borderId="0" xfId="0" applyAlignment="1">
      <alignment horizontal="center" wrapText="1"/>
    </xf>
    <xf numFmtId="0" fontId="0" fillId="0" borderId="3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7" xfId="0" applyBorder="1" applyAlignment="1" applyProtection="1">
      <alignment horizontal="center"/>
      <protection locked="0"/>
    </xf>
    <xf numFmtId="0" fontId="10" fillId="0" borderId="0" xfId="0" applyFont="1" applyAlignment="1">
      <alignment wrapText="1"/>
    </xf>
    <xf numFmtId="0" fontId="0" fillId="0" borderId="0" xfId="0" applyAlignment="1">
      <alignment wrapText="1"/>
    </xf>
    <xf numFmtId="0" fontId="1" fillId="0" borderId="0" xfId="0" applyFont="1" applyAlignment="1">
      <alignment horizontal="justify" vertical="center" wrapText="1"/>
    </xf>
    <xf numFmtId="0" fontId="61" fillId="0" borderId="0" xfId="0" applyFont="1" applyAlignment="1">
      <alignment wrapText="1"/>
    </xf>
    <xf numFmtId="0" fontId="0" fillId="0" borderId="0" xfId="0" applyAlignment="1">
      <alignment/>
    </xf>
    <xf numFmtId="0" fontId="9" fillId="4" borderId="0" xfId="0" applyFont="1" applyFill="1" applyAlignment="1">
      <alignment horizontal="center"/>
    </xf>
    <xf numFmtId="0" fontId="4" fillId="7" borderId="33" xfId="0" applyFont="1" applyFill="1" applyBorder="1" applyAlignment="1">
      <alignment horizontal="center"/>
    </xf>
    <xf numFmtId="0" fontId="4" fillId="7" borderId="15" xfId="0" applyFont="1" applyFill="1" applyBorder="1" applyAlignment="1">
      <alignment horizontal="center"/>
    </xf>
    <xf numFmtId="0" fontId="4" fillId="7" borderId="11" xfId="0" applyFont="1" applyFill="1" applyBorder="1" applyAlignment="1">
      <alignment horizontal="center"/>
    </xf>
    <xf numFmtId="0" fontId="4" fillId="7" borderId="12" xfId="0" applyFont="1" applyFill="1" applyBorder="1" applyAlignment="1">
      <alignment horizontal="center"/>
    </xf>
    <xf numFmtId="0" fontId="0" fillId="7" borderId="15" xfId="0" applyFill="1" applyBorder="1" applyAlignment="1">
      <alignment/>
    </xf>
    <xf numFmtId="0" fontId="0" fillId="7" borderId="12" xfId="0" applyFill="1" applyBorder="1" applyAlignment="1">
      <alignment/>
    </xf>
    <xf numFmtId="0" fontId="0" fillId="0" borderId="0" xfId="0" applyFont="1" applyAlignment="1">
      <alignment horizontal="justify"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ferred tax" xfId="57"/>
    <cellStyle name="Normal_tax liabilities (graphical)" xfId="58"/>
    <cellStyle name="Note" xfId="59"/>
    <cellStyle name="Output" xfId="60"/>
    <cellStyle name="Percent" xfId="61"/>
    <cellStyle name="Title" xfId="62"/>
    <cellStyle name="Total" xfId="63"/>
    <cellStyle name="Warning Text" xfId="64"/>
  </cellStyles>
  <dxfs count="17">
    <dxf>
      <font>
        <color theme="0"/>
      </font>
      <fill>
        <patternFill>
          <bgColor theme="0"/>
        </patternFill>
      </fill>
      <border>
        <left/>
        <right/>
        <top/>
        <bottom/>
      </border>
    </dxf>
    <dxf>
      <font>
        <color theme="0"/>
      </font>
      <fill>
        <patternFill>
          <bgColor theme="0"/>
        </patternFill>
      </fill>
      <border>
        <left style="thin"/>
        <right style="thin"/>
        <top/>
        <bottom/>
      </border>
    </dxf>
    <dxf>
      <font>
        <color theme="0"/>
      </font>
      <fill>
        <patternFill>
          <bgColor theme="0"/>
        </patternFill>
      </fill>
      <border>
        <left/>
        <right/>
        <top/>
        <bottom/>
      </border>
    </dxf>
    <dxf>
      <font>
        <color theme="0"/>
      </font>
      <fill>
        <patternFill>
          <bgColor theme="0"/>
        </patternFill>
      </fill>
      <border>
        <left style="thin"/>
        <right style="thin"/>
        <top/>
        <bottom/>
      </border>
    </dxf>
    <dxf>
      <font>
        <color theme="0"/>
      </font>
      <fill>
        <patternFill>
          <bgColor theme="0"/>
        </patternFill>
      </fill>
      <border>
        <left/>
        <right/>
        <top/>
        <bottom/>
      </border>
    </dxf>
    <dxf>
      <font>
        <color theme="0"/>
      </font>
      <fill>
        <patternFill>
          <bgColor theme="0"/>
        </patternFill>
      </fill>
      <border>
        <left style="thin"/>
        <right style="thin"/>
        <top/>
        <bottom/>
      </border>
    </dxf>
    <dxf>
      <fill>
        <patternFill patternType="none">
          <bgColor indexed="65"/>
        </patternFill>
      </fill>
    </dxf>
    <dxf>
      <border>
        <left/>
        <right/>
        <top/>
        <bottom/>
      </border>
    </dxf>
    <dxf>
      <fill>
        <patternFill patternType="none">
          <bgColor indexed="65"/>
        </patternFill>
      </fill>
      <border>
        <left style="thin"/>
        <right style="thin"/>
        <top>
          <color indexed="63"/>
        </top>
        <bottom>
          <color indexed="63"/>
        </bottom>
      </border>
    </dxf>
    <dxf>
      <fill>
        <patternFill patternType="none">
          <bgColor indexed="65"/>
        </patternFill>
      </fill>
      <border>
        <left>
          <color indexed="63"/>
        </left>
        <right style="thin"/>
        <top>
          <color indexed="63"/>
        </top>
        <bottom>
          <color indexed="63"/>
        </bottom>
      </border>
    </dxf>
    <dxf>
      <font>
        <color indexed="9"/>
      </font>
      <fill>
        <patternFill>
          <bgColor indexed="10"/>
        </patternFill>
      </fill>
    </dxf>
    <dxf>
      <font>
        <color indexed="41"/>
      </font>
      <fill>
        <patternFill>
          <bgColor indexed="10"/>
        </patternFill>
      </fill>
    </dxf>
    <dxf>
      <fill>
        <patternFill>
          <bgColor indexed="13"/>
        </patternFill>
      </fill>
    </dxf>
    <dxf>
      <fill>
        <patternFill>
          <bgColor rgb="FFFFFF99"/>
        </patternFill>
      </fill>
    </dxf>
    <dxf>
      <fill>
        <patternFill patternType="none">
          <bgColor indexed="65"/>
        </patternFill>
      </fill>
      <border>
        <left>
          <color rgb="FF000000"/>
        </left>
        <right style="thin">
          <color rgb="FF000000"/>
        </right>
        <top>
          <color rgb="FF000000"/>
        </top>
        <bottom>
          <color rgb="FF000000"/>
        </bottom>
      </border>
    </dxf>
    <dxf>
      <fill>
        <patternFill patternType="none">
          <bgColor indexed="65"/>
        </patternFill>
      </fill>
      <border>
        <left style="thin">
          <color rgb="FF000000"/>
        </left>
        <right style="thin">
          <color rgb="FF000000"/>
        </right>
        <top>
          <color rgb="FF000000"/>
        </top>
        <bottom>
          <color rgb="FF000000"/>
        </bottom>
      </border>
    </dxf>
    <dxf>
      <font>
        <color theme="0"/>
      </font>
      <fill>
        <patternFill>
          <bgColor theme="0"/>
        </patternFill>
      </fill>
      <border>
        <left style="thin">
          <color rgb="FF000000"/>
        </left>
        <right style="thin">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5</xdr:row>
      <xdr:rowOff>0</xdr:rowOff>
    </xdr:from>
    <xdr:to>
      <xdr:col>23</xdr:col>
      <xdr:colOff>200025</xdr:colOff>
      <xdr:row>23</xdr:row>
      <xdr:rowOff>57150</xdr:rowOff>
    </xdr:to>
    <xdr:pic>
      <xdr:nvPicPr>
        <xdr:cNvPr id="1" name="Picture 1"/>
        <xdr:cNvPicPr preferRelativeResize="1">
          <a:picLocks noChangeAspect="1"/>
        </xdr:cNvPicPr>
      </xdr:nvPicPr>
      <xdr:blipFill>
        <a:blip r:embed="rId1"/>
        <a:stretch>
          <a:fillRect/>
        </a:stretch>
      </xdr:blipFill>
      <xdr:spPr>
        <a:xfrm>
          <a:off x="7600950" y="809625"/>
          <a:ext cx="6905625" cy="2971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bscomputing-my.sharepoint.com/Program%20Files%20(x86)\Tax%20Tips%20and%20Tools%202015\Payroll%20Calculator.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put"/>
      <sheetName val="Variables"/>
      <sheetName val="Calcs"/>
    </sheetNames>
    <sheetDataSet>
      <sheetData sheetId="1">
        <row r="7">
          <cell r="N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rgb="FFFFC000"/>
  </sheetPr>
  <dimension ref="A1:O46"/>
  <sheetViews>
    <sheetView showGridLines="0" showRowColHeaders="0" showZeros="0" tabSelected="1" showOutlineSymbols="0" zoomScalePageLayoutView="0" workbookViewId="0" topLeftCell="A1">
      <selection activeCell="D9" sqref="D9:G9"/>
    </sheetView>
  </sheetViews>
  <sheetFormatPr defaultColWidth="9.140625" defaultRowHeight="12.75"/>
  <cols>
    <col min="1" max="3" width="9.140625" style="169" customWidth="1"/>
    <col min="4" max="4" width="9.28125" style="169" bestFit="1" customWidth="1"/>
    <col min="5" max="8" width="9.140625" style="169" customWidth="1"/>
    <col min="9" max="9" width="10.140625" style="169" bestFit="1" customWidth="1"/>
    <col min="10" max="12" width="9.140625" style="169" customWidth="1"/>
    <col min="13" max="13" width="9.140625" style="170" hidden="1" customWidth="1"/>
    <col min="14" max="16" width="9.140625" style="169" hidden="1" customWidth="1"/>
    <col min="17" max="17" width="9.140625" style="169" customWidth="1"/>
    <col min="18" max="16384" width="9.140625" style="169" customWidth="1"/>
  </cols>
  <sheetData>
    <row r="1" spans="1:9" ht="12.75">
      <c r="A1" s="168"/>
      <c r="B1" s="168"/>
      <c r="C1" s="168"/>
      <c r="D1" s="168"/>
      <c r="E1" s="168"/>
      <c r="F1" s="168"/>
      <c r="G1" s="168"/>
      <c r="H1" s="168"/>
      <c r="I1" s="168"/>
    </row>
    <row r="2" spans="1:9" ht="12.75">
      <c r="A2" s="171" t="s">
        <v>380</v>
      </c>
      <c r="B2" s="171"/>
      <c r="C2" s="171"/>
      <c r="D2" s="171"/>
      <c r="E2" s="171"/>
      <c r="F2" s="171"/>
      <c r="G2" s="171"/>
      <c r="H2" s="171"/>
      <c r="I2" s="172" t="s">
        <v>142</v>
      </c>
    </row>
    <row r="3" spans="1:9" ht="12.75">
      <c r="A3" s="173"/>
      <c r="B3" s="173"/>
      <c r="C3" s="173"/>
      <c r="D3" s="173"/>
      <c r="E3" s="173"/>
      <c r="F3" s="173"/>
      <c r="G3" s="173"/>
      <c r="H3" s="173"/>
      <c r="I3" s="173"/>
    </row>
    <row r="4" spans="1:9" ht="12.75">
      <c r="A4" s="168"/>
      <c r="B4" s="168"/>
      <c r="C4" s="168"/>
      <c r="D4" s="168"/>
      <c r="E4" s="168"/>
      <c r="F4" s="168"/>
      <c r="G4" s="168"/>
      <c r="H4" s="168"/>
      <c r="I4" s="168"/>
    </row>
    <row r="5" spans="1:9" ht="15.75">
      <c r="A5" s="174" t="s">
        <v>374</v>
      </c>
      <c r="B5" s="168"/>
      <c r="C5" s="168"/>
      <c r="D5" s="168"/>
      <c r="E5" s="168"/>
      <c r="F5" s="168"/>
      <c r="G5" s="168"/>
      <c r="H5" s="168"/>
      <c r="I5" s="168"/>
    </row>
    <row r="6" spans="1:9" ht="12.75">
      <c r="A6" s="168"/>
      <c r="B6" s="168"/>
      <c r="C6" s="168"/>
      <c r="D6" s="168"/>
      <c r="E6" s="168"/>
      <c r="F6" s="168"/>
      <c r="G6" s="168"/>
      <c r="H6" s="168"/>
      <c r="I6" s="168"/>
    </row>
    <row r="7" spans="1:9" ht="12.75">
      <c r="A7" s="313" t="s">
        <v>250</v>
      </c>
      <c r="B7" s="313"/>
      <c r="C7" s="313"/>
      <c r="D7" s="313"/>
      <c r="E7" s="313"/>
      <c r="F7" s="313"/>
      <c r="G7" s="313"/>
      <c r="H7" s="313"/>
      <c r="I7" s="313"/>
    </row>
    <row r="8" spans="1:9" ht="12.75">
      <c r="A8" s="319" t="s">
        <v>288</v>
      </c>
      <c r="B8" s="320"/>
      <c r="C8" s="320"/>
      <c r="D8" s="320"/>
      <c r="E8" s="320"/>
      <c r="F8" s="320"/>
      <c r="G8" s="320"/>
      <c r="H8" s="320"/>
      <c r="I8" s="320"/>
    </row>
    <row r="9" spans="1:9" ht="12.75">
      <c r="A9" s="175" t="s">
        <v>198</v>
      </c>
      <c r="B9" s="176"/>
      <c r="C9" s="176"/>
      <c r="D9" s="314" t="s">
        <v>201</v>
      </c>
      <c r="E9" s="314"/>
      <c r="F9" s="314"/>
      <c r="G9" s="314"/>
      <c r="H9" s="176"/>
      <c r="I9" s="176"/>
    </row>
    <row r="10" spans="1:9" ht="14.25">
      <c r="A10" s="175"/>
      <c r="B10" s="176"/>
      <c r="C10" s="176"/>
      <c r="D10" s="177"/>
      <c r="E10" s="177"/>
      <c r="F10" s="177"/>
      <c r="G10" s="177"/>
      <c r="H10" s="177"/>
      <c r="I10" s="176"/>
    </row>
    <row r="11" spans="1:13" ht="12.75">
      <c r="A11" s="168"/>
      <c r="B11" s="168"/>
      <c r="C11" s="168"/>
      <c r="D11" s="168"/>
      <c r="E11" s="168"/>
      <c r="F11" s="168"/>
      <c r="G11" s="168"/>
      <c r="H11" s="168"/>
      <c r="I11" s="168"/>
      <c r="M11" s="180"/>
    </row>
    <row r="12" spans="1:15" ht="12.75">
      <c r="A12" s="175" t="s">
        <v>360</v>
      </c>
      <c r="B12" s="168"/>
      <c r="D12" s="309" t="s">
        <v>376</v>
      </c>
      <c r="F12" s="291"/>
      <c r="H12" s="168"/>
      <c r="I12" s="168"/>
      <c r="M12" s="194" t="s">
        <v>349</v>
      </c>
      <c r="N12" s="181">
        <v>1</v>
      </c>
      <c r="O12" s="181">
        <f>VLOOKUP(taxyear,M12:N13,2)</f>
        <v>2</v>
      </c>
    </row>
    <row r="13" spans="1:15" ht="12.75">
      <c r="A13" s="175"/>
      <c r="B13" s="168"/>
      <c r="C13" s="168"/>
      <c r="H13" s="168"/>
      <c r="I13" s="168"/>
      <c r="M13" s="194" t="s">
        <v>359</v>
      </c>
      <c r="N13" s="181">
        <v>2</v>
      </c>
      <c r="O13" s="181"/>
    </row>
    <row r="14" spans="1:15" ht="12.75">
      <c r="A14" s="175"/>
      <c r="B14" s="168"/>
      <c r="C14" s="168"/>
      <c r="H14" s="168"/>
      <c r="I14" s="168"/>
      <c r="M14" s="182" t="s">
        <v>9</v>
      </c>
      <c r="N14" s="183" t="s">
        <v>9</v>
      </c>
      <c r="O14" s="181"/>
    </row>
    <row r="15" spans="1:15" ht="12.75">
      <c r="A15" s="315"/>
      <c r="B15" s="315"/>
      <c r="C15" s="315"/>
      <c r="D15" s="315"/>
      <c r="E15" s="315"/>
      <c r="F15" s="315"/>
      <c r="G15" s="315"/>
      <c r="H15" s="315"/>
      <c r="I15" s="315"/>
      <c r="M15" s="182" t="s">
        <v>9</v>
      </c>
      <c r="N15" s="183" t="s">
        <v>9</v>
      </c>
      <c r="O15" s="181"/>
    </row>
    <row r="16" spans="1:9" ht="12.75">
      <c r="A16" s="316" t="s">
        <v>373</v>
      </c>
      <c r="B16" s="317"/>
      <c r="C16" s="317"/>
      <c r="D16" s="317"/>
      <c r="E16" s="317"/>
      <c r="F16" s="317"/>
      <c r="G16" s="317"/>
      <c r="H16" s="317"/>
      <c r="I16" s="317"/>
    </row>
    <row r="17" spans="1:9" ht="12.75">
      <c r="A17" s="317"/>
      <c r="B17" s="317"/>
      <c r="C17" s="317"/>
      <c r="D17" s="317"/>
      <c r="E17" s="317"/>
      <c r="F17" s="317"/>
      <c r="G17" s="317"/>
      <c r="H17" s="317"/>
      <c r="I17" s="317"/>
    </row>
    <row r="18" spans="1:9" ht="12.75">
      <c r="A18" s="317"/>
      <c r="B18" s="317"/>
      <c r="C18" s="317"/>
      <c r="D18" s="317"/>
      <c r="E18" s="317"/>
      <c r="F18" s="317"/>
      <c r="G18" s="317"/>
      <c r="H18" s="317"/>
      <c r="I18" s="317"/>
    </row>
    <row r="19" spans="1:9" ht="16.5" customHeight="1">
      <c r="A19" s="317"/>
      <c r="B19" s="317"/>
      <c r="C19" s="317"/>
      <c r="D19" s="317"/>
      <c r="E19" s="317"/>
      <c r="F19" s="317"/>
      <c r="G19" s="317"/>
      <c r="H19" s="317"/>
      <c r="I19" s="317"/>
    </row>
    <row r="20" spans="1:9" ht="12.75">
      <c r="A20" s="318"/>
      <c r="B20" s="318"/>
      <c r="C20" s="318"/>
      <c r="D20" s="318"/>
      <c r="E20" s="318"/>
      <c r="F20" s="318"/>
      <c r="G20" s="318"/>
      <c r="H20" s="318"/>
      <c r="I20" s="318"/>
    </row>
    <row r="21" spans="1:9" ht="12.75">
      <c r="A21" s="318"/>
      <c r="B21" s="318"/>
      <c r="C21" s="318"/>
      <c r="D21" s="318"/>
      <c r="E21" s="318"/>
      <c r="F21" s="318"/>
      <c r="G21" s="318"/>
      <c r="H21" s="318"/>
      <c r="I21" s="318"/>
    </row>
    <row r="22" spans="1:9" ht="12.75">
      <c r="A22" s="318"/>
      <c r="B22" s="318"/>
      <c r="C22" s="318"/>
      <c r="D22" s="318"/>
      <c r="E22" s="318"/>
      <c r="F22" s="318"/>
      <c r="G22" s="318"/>
      <c r="H22" s="318"/>
      <c r="I22" s="318"/>
    </row>
    <row r="23" spans="1:9" ht="12.75">
      <c r="A23" s="185"/>
      <c r="B23" s="185"/>
      <c r="C23" s="185"/>
      <c r="D23" s="185"/>
      <c r="E23" s="185"/>
      <c r="F23" s="185"/>
      <c r="G23" s="185"/>
      <c r="H23" s="185"/>
      <c r="I23" s="185"/>
    </row>
    <row r="24" spans="1:9" ht="12.75" customHeight="1">
      <c r="A24" s="317"/>
      <c r="B24" s="317"/>
      <c r="C24" s="317"/>
      <c r="D24" s="317"/>
      <c r="E24" s="317"/>
      <c r="F24" s="317"/>
      <c r="G24" s="317"/>
      <c r="H24" s="317"/>
      <c r="I24" s="317"/>
    </row>
    <row r="25" spans="1:9" ht="12.75">
      <c r="A25" s="317"/>
      <c r="B25" s="317"/>
      <c r="C25" s="317"/>
      <c r="D25" s="317"/>
      <c r="E25" s="317"/>
      <c r="F25" s="317"/>
      <c r="G25" s="317"/>
      <c r="H25" s="317"/>
      <c r="I25" s="317"/>
    </row>
    <row r="26" spans="1:9" ht="12.75">
      <c r="A26" s="317"/>
      <c r="B26" s="317"/>
      <c r="C26" s="317"/>
      <c r="D26" s="317"/>
      <c r="E26" s="317"/>
      <c r="F26" s="317"/>
      <c r="G26" s="317"/>
      <c r="H26" s="317"/>
      <c r="I26" s="317"/>
    </row>
    <row r="27" spans="1:9" ht="12.75">
      <c r="A27" s="171" t="s">
        <v>375</v>
      </c>
      <c r="B27" s="178"/>
      <c r="C27" s="178"/>
      <c r="D27" s="178"/>
      <c r="E27" s="178"/>
      <c r="F27" s="178"/>
      <c r="G27" s="178"/>
      <c r="H27" s="178"/>
      <c r="I27" s="179"/>
    </row>
    <row r="28" spans="1:9" ht="12.75">
      <c r="A28" s="173"/>
      <c r="B28" s="173"/>
      <c r="C28" s="173"/>
      <c r="D28" s="173"/>
      <c r="E28" s="173"/>
      <c r="F28" s="173"/>
      <c r="G28" s="173"/>
      <c r="H28" s="173"/>
      <c r="I28" s="173"/>
    </row>
    <row r="29" spans="1:9" ht="12.75">
      <c r="A29" s="168"/>
      <c r="B29" s="168"/>
      <c r="C29" s="168"/>
      <c r="D29" s="168"/>
      <c r="E29" s="168"/>
      <c r="F29" s="168"/>
      <c r="G29" s="168"/>
      <c r="H29" s="168"/>
      <c r="I29" s="168"/>
    </row>
    <row r="30" spans="1:10" ht="12.75">
      <c r="A30" s="311" t="s">
        <v>194</v>
      </c>
      <c r="B30" s="312"/>
      <c r="C30" s="312"/>
      <c r="D30" s="312"/>
      <c r="E30" s="312"/>
      <c r="F30" s="312"/>
      <c r="G30" s="312"/>
      <c r="H30" s="312"/>
      <c r="I30" s="312"/>
      <c r="J30" s="312"/>
    </row>
    <row r="31" spans="1:10" ht="12.75">
      <c r="A31" s="312"/>
      <c r="B31" s="312"/>
      <c r="C31" s="312"/>
      <c r="D31" s="312"/>
      <c r="E31" s="312"/>
      <c r="F31" s="312"/>
      <c r="G31" s="312"/>
      <c r="H31" s="312"/>
      <c r="I31" s="312"/>
      <c r="J31" s="312"/>
    </row>
    <row r="32" spans="1:10" ht="12.75">
      <c r="A32" s="312"/>
      <c r="B32" s="312"/>
      <c r="C32" s="312"/>
      <c r="D32" s="312"/>
      <c r="E32" s="312"/>
      <c r="F32" s="312"/>
      <c r="G32" s="312"/>
      <c r="H32" s="312"/>
      <c r="I32" s="312"/>
      <c r="J32" s="312"/>
    </row>
    <row r="33" spans="1:10" ht="12.75">
      <c r="A33" s="312"/>
      <c r="B33" s="312"/>
      <c r="C33" s="312"/>
      <c r="D33" s="312"/>
      <c r="E33" s="312"/>
      <c r="F33" s="312"/>
      <c r="G33" s="312"/>
      <c r="H33" s="312"/>
      <c r="I33" s="312"/>
      <c r="J33" s="312"/>
    </row>
    <row r="34" spans="1:10" ht="12.75">
      <c r="A34" s="312"/>
      <c r="B34" s="312"/>
      <c r="C34" s="312"/>
      <c r="D34" s="312"/>
      <c r="E34" s="312"/>
      <c r="F34" s="312"/>
      <c r="G34" s="312"/>
      <c r="H34" s="312"/>
      <c r="I34" s="312"/>
      <c r="J34" s="312"/>
    </row>
    <row r="35" spans="1:10" ht="12.75">
      <c r="A35" s="312"/>
      <c r="B35" s="312"/>
      <c r="C35" s="312"/>
      <c r="D35" s="312"/>
      <c r="E35" s="312"/>
      <c r="F35" s="312"/>
      <c r="G35" s="312"/>
      <c r="H35" s="312"/>
      <c r="I35" s="312"/>
      <c r="J35" s="312"/>
    </row>
    <row r="36" spans="1:10" ht="12.75">
      <c r="A36" s="312"/>
      <c r="B36" s="312"/>
      <c r="C36" s="312"/>
      <c r="D36" s="312"/>
      <c r="E36" s="312"/>
      <c r="F36" s="312"/>
      <c r="G36" s="312"/>
      <c r="H36" s="312"/>
      <c r="I36" s="312"/>
      <c r="J36" s="312"/>
    </row>
    <row r="37" ht="12.75">
      <c r="A37" s="255"/>
    </row>
    <row r="38" ht="12.75">
      <c r="A38" s="255"/>
    </row>
    <row r="39" ht="12.75">
      <c r="A39" s="255"/>
    </row>
    <row r="40" ht="12.75">
      <c r="A40" s="255"/>
    </row>
    <row r="41" ht="12.75">
      <c r="A41" s="255"/>
    </row>
    <row r="42" ht="12.75">
      <c r="A42" s="255"/>
    </row>
    <row r="43" ht="12.75">
      <c r="A43" s="255"/>
    </row>
    <row r="44" ht="12.75">
      <c r="A44" s="255"/>
    </row>
    <row r="45" ht="12.75">
      <c r="A45" s="255"/>
    </row>
    <row r="46" ht="12.75">
      <c r="A46" s="255"/>
    </row>
  </sheetData>
  <sheetProtection password="EEC4" sheet="1"/>
  <mergeCells count="7">
    <mergeCell ref="A30:J36"/>
    <mergeCell ref="A7:I7"/>
    <mergeCell ref="D9:G9"/>
    <mergeCell ref="A15:I15"/>
    <mergeCell ref="A16:I22"/>
    <mergeCell ref="A8:I8"/>
    <mergeCell ref="A24:I26"/>
  </mergeCells>
  <printOptions/>
  <pageMargins left="0.75" right="0.75" top="1" bottom="1" header="0.5" footer="0.5"/>
  <pageSetup horizontalDpi="300" verticalDpi="3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Sheet4">
    <tabColor rgb="FF00B050"/>
  </sheetPr>
  <dimension ref="A1:AD322"/>
  <sheetViews>
    <sheetView zoomScalePageLayoutView="0" workbookViewId="0" topLeftCell="A1">
      <selection activeCell="F133" sqref="F133"/>
    </sheetView>
  </sheetViews>
  <sheetFormatPr defaultColWidth="9.140625" defaultRowHeight="12.75"/>
  <cols>
    <col min="2" max="2" width="10.57421875" style="0" customWidth="1"/>
    <col min="4" max="5" width="12.7109375" style="6" customWidth="1"/>
    <col min="6" max="6" width="10.421875" style="6" customWidth="1"/>
    <col min="7" max="7" width="10.140625" style="0" bestFit="1" customWidth="1"/>
    <col min="8" max="8" width="12.00390625" style="117" customWidth="1"/>
    <col min="9" max="9" width="12.28125" style="0" bestFit="1" customWidth="1"/>
    <col min="10" max="10" width="11.140625" style="0" bestFit="1" customWidth="1"/>
    <col min="11" max="11" width="11.00390625" style="0" customWidth="1"/>
    <col min="12" max="12" width="11.28125" style="0" customWidth="1"/>
    <col min="13" max="13" width="10.57421875" style="0" customWidth="1"/>
    <col min="14" max="14" width="9.28125" style="0" bestFit="1" customWidth="1"/>
    <col min="15" max="15" width="14.28125" style="0" customWidth="1"/>
    <col min="16" max="16" width="10.8515625" style="0" customWidth="1"/>
    <col min="17" max="17" width="11.28125" style="0" bestFit="1" customWidth="1"/>
    <col min="18" max="18" width="11.8515625" style="0" customWidth="1"/>
    <col min="19" max="19" width="13.421875" style="0" bestFit="1" customWidth="1"/>
    <col min="20" max="20" width="35.8515625" style="0" customWidth="1"/>
    <col min="21" max="21" width="24.57421875" style="0" customWidth="1"/>
    <col min="22" max="22" width="14.140625" style="0" customWidth="1"/>
    <col min="23" max="23" width="11.00390625" style="6" customWidth="1"/>
    <col min="24" max="24" width="11.28125" style="6" customWidth="1"/>
    <col min="27" max="27" width="20.421875" style="0" customWidth="1"/>
    <col min="29" max="29" width="13.00390625" style="0" customWidth="1"/>
    <col min="30" max="30" width="21.7109375" style="0" customWidth="1"/>
    <col min="31" max="31" width="14.7109375" style="0" customWidth="1"/>
  </cols>
  <sheetData>
    <row r="1" spans="11:22" ht="12.75">
      <c r="K1" s="238">
        <f>chooseyear</f>
        <v>2</v>
      </c>
      <c r="O1" t="s">
        <v>203</v>
      </c>
      <c r="P1" t="s">
        <v>219</v>
      </c>
      <c r="Q1" s="186">
        <f>marginalcosrate</f>
        <v>0.19</v>
      </c>
      <c r="R1" s="14">
        <f>IF(chooseyear=1,Q1,IF(chooseyear=2,Q2,Q3))</f>
        <v>0.19</v>
      </c>
      <c r="S1" t="s">
        <v>132</v>
      </c>
      <c r="U1">
        <f>pensioncont</f>
        <v>0</v>
      </c>
      <c r="V1" t="s">
        <v>9</v>
      </c>
    </row>
    <row r="2" spans="3:21" ht="12.75">
      <c r="C2" s="103" t="s">
        <v>16</v>
      </c>
      <c r="D2" s="105"/>
      <c r="K2" t="s">
        <v>368</v>
      </c>
      <c r="L2" t="s">
        <v>367</v>
      </c>
      <c r="Q2" s="186">
        <f>marginalcosrate</f>
        <v>0.19</v>
      </c>
      <c r="U2">
        <f>IF(pensioncont&gt;3600,3600,pensioncont)</f>
        <v>0</v>
      </c>
    </row>
    <row r="3" spans="13:20" ht="12.75">
      <c r="M3">
        <f>chooseyear</f>
        <v>2</v>
      </c>
      <c r="Q3" s="186"/>
      <c r="S3" s="261"/>
      <c r="T3" s="90" t="s">
        <v>244</v>
      </c>
    </row>
    <row r="4" spans="2:17" ht="12.75">
      <c r="B4" t="s">
        <v>5</v>
      </c>
      <c r="F4" s="6">
        <f>profit2</f>
        <v>15000</v>
      </c>
      <c r="K4" s="14">
        <f>IF(HRatepercent=1,DivTaxhr1,divtaxhr2)</f>
        <v>0.381</v>
      </c>
      <c r="L4" s="14">
        <f>IF(HRatepercent=1,higherratepercentage,higherratepercentage2)</f>
        <v>0.45</v>
      </c>
      <c r="M4">
        <v>2</v>
      </c>
      <c r="Q4" s="13"/>
    </row>
    <row r="5" spans="12:25" ht="12.75">
      <c r="L5" t="s">
        <v>252</v>
      </c>
      <c r="Q5" s="187">
        <v>0</v>
      </c>
      <c r="R5" s="14">
        <f>IF(chooseyear=1,Q5,Q6)</f>
        <v>0</v>
      </c>
      <c r="V5" s="90" t="s">
        <v>214</v>
      </c>
      <c r="W5" s="191" t="s">
        <v>220</v>
      </c>
      <c r="X5" s="6" t="s">
        <v>229</v>
      </c>
      <c r="Y5" s="90" t="s">
        <v>230</v>
      </c>
    </row>
    <row r="6" spans="2:25" ht="12.75">
      <c r="B6" t="s">
        <v>6</v>
      </c>
      <c r="E6" s="6" t="s">
        <v>9</v>
      </c>
      <c r="F6" s="123">
        <f>pasole</f>
        <v>11850</v>
      </c>
      <c r="K6" t="s">
        <v>9</v>
      </c>
      <c r="L6" t="s">
        <v>253</v>
      </c>
      <c r="Q6" s="187">
        <v>0</v>
      </c>
      <c r="U6">
        <f>persallowance</f>
        <v>11850</v>
      </c>
      <c r="V6">
        <f>profit2</f>
        <v>15000</v>
      </c>
      <c r="W6" s="6">
        <f>grossdirs</f>
        <v>14202.56</v>
      </c>
      <c r="X6" s="6">
        <f>totaldiv</f>
        <v>12150</v>
      </c>
      <c r="Y6">
        <f>grossdivmain+nicablemain</f>
        <v>13750.560000000001</v>
      </c>
    </row>
    <row r="7" spans="2:21" ht="12.75">
      <c r="B7" t="s">
        <v>134</v>
      </c>
      <c r="F7" s="6">
        <f>retannuity</f>
        <v>0</v>
      </c>
      <c r="Q7" s="13"/>
      <c r="U7" s="90">
        <f>persallowance</f>
        <v>11850</v>
      </c>
    </row>
    <row r="8" spans="2:25" ht="12.75">
      <c r="B8" t="s">
        <v>7</v>
      </c>
      <c r="F8" s="6">
        <f>IF(profit2-F6-F7&lt;0,0,profit2-F6-F7)</f>
        <v>3150</v>
      </c>
      <c r="H8" s="117" t="s">
        <v>9</v>
      </c>
      <c r="N8" s="14"/>
      <c r="O8" s="4"/>
      <c r="U8" s="90" t="s">
        <v>215</v>
      </c>
      <c r="V8">
        <f>IF(V6-band1pa&lt;0,0,V6-band1pa)</f>
        <v>0</v>
      </c>
      <c r="W8">
        <f>IF(W6-band1pa&lt;0,0,W6-band1pa)</f>
        <v>0</v>
      </c>
      <c r="X8">
        <f>IF(X6-band1pa&lt;0,0,X6-band1pa)</f>
        <v>0</v>
      </c>
      <c r="Y8">
        <f>IF(Y6-band1pa&lt;0,0,Y6-band1pa)</f>
        <v>0</v>
      </c>
    </row>
    <row r="9" spans="4:25" ht="12.75">
      <c r="D9" s="6" t="s">
        <v>11</v>
      </c>
      <c r="O9" s="14"/>
      <c r="U9" s="90" t="s">
        <v>9</v>
      </c>
      <c r="V9" s="90" t="s">
        <v>9</v>
      </c>
      <c r="W9" s="90" t="s">
        <v>9</v>
      </c>
      <c r="X9" s="90" t="s">
        <v>9</v>
      </c>
      <c r="Y9" s="90" t="s">
        <v>9</v>
      </c>
    </row>
    <row r="10" spans="2:24" ht="12.75">
      <c r="B10" s="4">
        <f>tenpercentrate</f>
        <v>0</v>
      </c>
      <c r="C10" t="s">
        <v>10</v>
      </c>
      <c r="D10" s="6">
        <v>0</v>
      </c>
      <c r="E10" s="6">
        <f>M11</f>
        <v>0</v>
      </c>
      <c r="M10">
        <f>IF(ChargeableIT&lt;0,0,ChargeableIT)</f>
        <v>3150</v>
      </c>
      <c r="N10" t="s">
        <v>9</v>
      </c>
      <c r="W10"/>
      <c r="X10"/>
    </row>
    <row r="11" spans="13:25" ht="12.75">
      <c r="M11">
        <f>IF(test10percent&gt;D10,D10*tenpercentrate,test10percent*tenpercentrate)</f>
        <v>0</v>
      </c>
      <c r="N11" t="s">
        <v>9</v>
      </c>
      <c r="Q11" t="s">
        <v>350</v>
      </c>
      <c r="R11" s="253">
        <f>divtaxfree</f>
        <v>2000</v>
      </c>
      <c r="U11" s="90" t="s">
        <v>216</v>
      </c>
      <c r="V11">
        <f>V8</f>
        <v>0</v>
      </c>
      <c r="W11">
        <f>W8</f>
        <v>0</v>
      </c>
      <c r="X11">
        <f>X8</f>
        <v>0</v>
      </c>
      <c r="Y11">
        <f>Y8</f>
        <v>0</v>
      </c>
    </row>
    <row r="12" spans="2:25" ht="12.75">
      <c r="B12" s="198">
        <f>basicrate</f>
        <v>0.2</v>
      </c>
      <c r="C12" s="199" t="s">
        <v>10</v>
      </c>
      <c r="D12" s="200">
        <f>basicrateband+pensioncont</f>
        <v>34500</v>
      </c>
      <c r="E12" s="200">
        <f>M14</f>
        <v>630</v>
      </c>
      <c r="J12" s="1" t="s">
        <v>213</v>
      </c>
      <c r="K12" s="199">
        <f>SUM(K13:K17)</f>
        <v>3150</v>
      </c>
      <c r="L12" s="199">
        <f>SUM(L13:L17)</f>
        <v>630</v>
      </c>
      <c r="M12" s="199"/>
      <c r="N12" t="s">
        <v>9</v>
      </c>
      <c r="U12" s="90" t="s">
        <v>9</v>
      </c>
      <c r="V12" s="90" t="s">
        <v>9</v>
      </c>
      <c r="W12" s="90" t="s">
        <v>9</v>
      </c>
      <c r="X12" s="90" t="s">
        <v>9</v>
      </c>
      <c r="Y12" s="90" t="s">
        <v>9</v>
      </c>
    </row>
    <row r="13" spans="2:24" ht="12.75">
      <c r="B13" s="198">
        <v>0.4</v>
      </c>
      <c r="C13" s="199" t="s">
        <v>10</v>
      </c>
      <c r="D13" s="200">
        <f>hrtaxband2-twentytwopercentband</f>
        <v>115500</v>
      </c>
      <c r="E13" s="200">
        <f>M16</f>
        <v>0</v>
      </c>
      <c r="G13" s="90" t="s">
        <v>240</v>
      </c>
      <c r="I13" t="s">
        <v>140</v>
      </c>
      <c r="K13" s="199"/>
      <c r="L13" s="199"/>
      <c r="M13" s="199">
        <f>IF(ChargeableIT-$D$10&lt;0,0,ChargeableIT-$D$10)</f>
        <v>3150</v>
      </c>
      <c r="N13" t="s">
        <v>9</v>
      </c>
      <c r="W13"/>
      <c r="X13"/>
    </row>
    <row r="14" spans="2:25" ht="12.75">
      <c r="B14" s="239">
        <f>higherratepercentage2</f>
        <v>0.45</v>
      </c>
      <c r="C14" s="199" t="s">
        <v>10</v>
      </c>
      <c r="D14" s="201">
        <f>K17</f>
        <v>0</v>
      </c>
      <c r="E14" s="201">
        <f>M17</f>
        <v>0</v>
      </c>
      <c r="F14" s="123">
        <f>SUM(E10:E14)</f>
        <v>630</v>
      </c>
      <c r="G14">
        <f>(profit2-retannuity)*choosehigherrate</f>
        <v>6750</v>
      </c>
      <c r="I14" s="6">
        <f>IF(hrateon=1,G14,F14)</f>
        <v>630</v>
      </c>
      <c r="K14" s="202">
        <f>IF((test22percent1-$D$12)&gt;0,+$D$12,test22percent1)</f>
        <v>3150</v>
      </c>
      <c r="L14" s="203">
        <f>K14*B12</f>
        <v>630</v>
      </c>
      <c r="M14" s="202">
        <f>IF((test22percent1-$D$12)&gt;0,+$D$12*$B$12,test22percent1*$B$12)</f>
        <v>630</v>
      </c>
      <c r="N14" s="5" t="s">
        <v>9</v>
      </c>
      <c r="O14" s="206"/>
      <c r="U14" s="90" t="s">
        <v>217</v>
      </c>
      <c r="V14">
        <f>ROUNDDOWN(IF(V11&lt;$U$7,V11,$U$7),0)</f>
        <v>0</v>
      </c>
      <c r="W14">
        <f>ROUNDDOWN(IF(W11&lt;$U$7,W11,$U$7),0)</f>
        <v>0</v>
      </c>
      <c r="X14">
        <f>ROUNDDOWN(IF(X11&lt;$U$7,X11,$U$7),0)</f>
        <v>0</v>
      </c>
      <c r="Y14">
        <f>ROUNDDOWN(IF(Y11&lt;$U$7,Y11,$U$7),0)</f>
        <v>0</v>
      </c>
    </row>
    <row r="15" spans="4:28" ht="12.75">
      <c r="D15" s="17">
        <f>SUM(D10:D14)</f>
        <v>150000</v>
      </c>
      <c r="K15" s="199"/>
      <c r="L15" s="199"/>
      <c r="M15" s="202" t="s">
        <v>9</v>
      </c>
      <c r="N15" s="5" t="s">
        <v>9</v>
      </c>
      <c r="O15" s="90"/>
      <c r="U15" s="90" t="s">
        <v>9</v>
      </c>
      <c r="V15" s="90">
        <f>ROUNDDOWN(V11/2,0)</f>
        <v>0</v>
      </c>
      <c r="W15" s="90">
        <f>ROUNDDOWN(W11/2,0)</f>
        <v>0</v>
      </c>
      <c r="X15" s="90">
        <f>ROUNDDOWN(X11/2,0)</f>
        <v>0</v>
      </c>
      <c r="Y15" s="90">
        <f>ROUNDDOWN(Y11/2,0)</f>
        <v>0</v>
      </c>
      <c r="AA15" s="5"/>
      <c r="AB15" s="5"/>
    </row>
    <row r="16" spans="2:28" ht="12.75">
      <c r="B16" t="s">
        <v>14</v>
      </c>
      <c r="C16" t="s">
        <v>12</v>
      </c>
      <c r="D16" s="123">
        <f>class4nilower</f>
        <v>8424</v>
      </c>
      <c r="K16" s="202">
        <f>IF(ChargeableIT&gt;hrtaxband2,(hrtaxband2-$D$10-$D$12),IF(ChargeableIT-D10-D12&lt;0,0,(ChargeableIT-$D$10-$D$12)))</f>
        <v>0</v>
      </c>
      <c r="L16" s="204">
        <f>K16*B13</f>
        <v>0</v>
      </c>
      <c r="M16" s="202">
        <f>IF(ChargeableIT&gt;hrtaxband2,(hrtaxband2-$D$10-$D$12)*$B$13,IF(ChargeableIT-D10-D12&lt;0,0,(ChargeableIT-$D$10-$D$12)*$B$13))</f>
        <v>0</v>
      </c>
      <c r="N16" s="5" t="s">
        <v>9</v>
      </c>
      <c r="U16" s="90" t="s">
        <v>378</v>
      </c>
      <c r="V16" s="14">
        <f>PersAllceRestrict</f>
        <v>0</v>
      </c>
      <c r="W16" s="14">
        <f>PersAllceRestrict</f>
        <v>0</v>
      </c>
      <c r="X16" s="14">
        <f>PersAllceRestrict</f>
        <v>0</v>
      </c>
      <c r="Y16" s="14">
        <f>PersAllceRestrict</f>
        <v>0</v>
      </c>
      <c r="AA16" s="5"/>
      <c r="AB16" s="5"/>
    </row>
    <row r="17" spans="3:28" ht="12.75">
      <c r="C17" t="s">
        <v>13</v>
      </c>
      <c r="D17" s="123">
        <f>class4niupper</f>
        <v>46350</v>
      </c>
      <c r="K17" s="202">
        <f>IF(ChargeableIT-hrtaxband2&gt;0,ChargeableIT-hrtaxband2,0)</f>
        <v>0</v>
      </c>
      <c r="L17" s="204">
        <f>K17*B14</f>
        <v>0</v>
      </c>
      <c r="M17" s="202">
        <f>IF(ChargeableIT-hrtaxband2&gt;0,((ChargeableIT-hrtaxband2)*$B$14),0)</f>
        <v>0</v>
      </c>
      <c r="N17" s="197" t="s">
        <v>9</v>
      </c>
      <c r="O17">
        <f>IF(profit2-class4niupper&gt;0,profit2-class4niupper,0)</f>
        <v>0</v>
      </c>
      <c r="P17" t="s">
        <v>120</v>
      </c>
      <c r="R17" s="6">
        <f>IF(chooseyear=1,(class4niupper-class4nilower)*class4nirate1,(class4niupper-class4nilower)*class4nirate2)</f>
        <v>3413.3399999999997</v>
      </c>
      <c r="U17" s="90" t="s">
        <v>218</v>
      </c>
      <c r="V17">
        <f>IF((V14-V15)&lt;0,0,$U$7-V15-$U$7*V16)</f>
        <v>11850</v>
      </c>
      <c r="W17">
        <f>IF((W14-W15)&lt;0,0,$U$7-W15-$U$7*W16)</f>
        <v>11850</v>
      </c>
      <c r="X17">
        <f>IF((X14-X15)&lt;0,0,$U$7-X15-$U$7*X16)</f>
        <v>11850</v>
      </c>
      <c r="Y17">
        <f>IF((Y14-Y15)&lt;0,0,$U$7-Y15-$U$7*Y16)</f>
        <v>11850</v>
      </c>
      <c r="AA17" s="5"/>
      <c r="AB17" s="5"/>
    </row>
    <row r="18" spans="3:28" ht="12.75">
      <c r="C18" t="s">
        <v>15</v>
      </c>
      <c r="F18" s="188">
        <f>IF(chooseyear=1,J19,K19)</f>
        <v>591.84</v>
      </c>
      <c r="J18" s="268">
        <f>class4nirate1</f>
        <v>0.09</v>
      </c>
      <c r="K18" s="268">
        <f>class4nirate2</f>
        <v>0.09</v>
      </c>
      <c r="M18" s="5">
        <f>IF(profit2-class4nilower&lt;0,0,profit2-class4nilower)</f>
        <v>6576</v>
      </c>
      <c r="N18" s="5" t="s">
        <v>9</v>
      </c>
      <c r="O18" s="14">
        <f>NIAddlRate</f>
        <v>0.02</v>
      </c>
      <c r="P18" t="s">
        <v>121</v>
      </c>
      <c r="R18" s="6">
        <f>+O17*O18</f>
        <v>0</v>
      </c>
      <c r="AA18" s="5"/>
      <c r="AB18" s="5"/>
    </row>
    <row r="19" spans="10:28" ht="12.75">
      <c r="J19" s="6">
        <f>IF(profit&gt;class4niupper,(class4niupper-class4nilower)*class4nirate1+excessnipercentrate*excessovernimax,IF(profit-class4nilower&lt;0,0,(profit-class4nilower)*class4nirate1))</f>
        <v>591.84</v>
      </c>
      <c r="K19" s="6">
        <f>IF(profit&gt;class4niupper,(class4niupper-class4nilower)*class4nirate2+excessnipercentrate*excessovernimax,IF(profit-class4nilower&lt;0,0,(profit-class4nilower)*class4nirate2))</f>
        <v>591.84</v>
      </c>
      <c r="M19" t="s">
        <v>9</v>
      </c>
      <c r="N19" t="s">
        <v>9</v>
      </c>
      <c r="P19" s="1" t="s">
        <v>122</v>
      </c>
      <c r="R19" s="17">
        <f>SUM(R17:R18)</f>
        <v>3413.3399999999997</v>
      </c>
      <c r="AA19" s="5"/>
      <c r="AB19" s="5"/>
    </row>
    <row r="20" spans="27:28" ht="12.75">
      <c r="AA20" s="5"/>
      <c r="AB20" s="5"/>
    </row>
    <row r="21" spans="2:28" ht="12.75">
      <c r="B21" s="15" t="s">
        <v>43</v>
      </c>
      <c r="L21" s="14">
        <f>IF(HRatepercent=1,DivTaxhr1,divtaxhr2)</f>
        <v>0.381</v>
      </c>
      <c r="AA21" s="5"/>
      <c r="AB21" s="5"/>
    </row>
    <row r="22" spans="27:28" ht="12.75">
      <c r="AA22" s="5"/>
      <c r="AB22" s="5"/>
    </row>
    <row r="23" spans="2:28" ht="12.75">
      <c r="B23" t="s">
        <v>9</v>
      </c>
      <c r="F23" s="6" t="s">
        <v>9</v>
      </c>
      <c r="AA23" s="5"/>
      <c r="AB23" s="5"/>
    </row>
    <row r="24" spans="2:28" ht="12.75">
      <c r="B24" s="103" t="s">
        <v>21</v>
      </c>
      <c r="C24" s="104"/>
      <c r="D24" s="105"/>
      <c r="E24" s="105"/>
      <c r="P24" t="s">
        <v>204</v>
      </c>
      <c r="Q24" s="186">
        <f>fullcosrate</f>
        <v>0.19</v>
      </c>
      <c r="R24" s="14">
        <f>IF(chooseyear=1,Q24,Q25)</f>
        <v>0.19</v>
      </c>
      <c r="AA24" s="5"/>
      <c r="AB24" s="5"/>
    </row>
    <row r="25" spans="2:28" ht="12.75">
      <c r="B25" t="s">
        <v>46</v>
      </c>
      <c r="F25" s="6">
        <f>dividendpayable</f>
        <v>12150</v>
      </c>
      <c r="M25">
        <f>IF(chargeabletotaxdivroute&lt;0,0,chargeabletotaxdivroute)</f>
        <v>300</v>
      </c>
      <c r="Q25" s="186">
        <f>fullcosrate</f>
        <v>0.19</v>
      </c>
      <c r="R25" s="14"/>
      <c r="AA25" s="5"/>
      <c r="AB25" s="5"/>
    </row>
    <row r="26" spans="2:28" ht="12.75">
      <c r="B26" t="s">
        <v>47</v>
      </c>
      <c r="M26">
        <f>IF(testpercentdiv&gt;D32,D32*0%,testpercentdiv*0%)</f>
        <v>0</v>
      </c>
      <c r="AA26" s="5"/>
      <c r="AB26" s="5"/>
    </row>
    <row r="27" spans="2:28" ht="12.75">
      <c r="B27" t="s">
        <v>48</v>
      </c>
      <c r="F27" s="17">
        <f>SUM(F25:F26)</f>
        <v>12150</v>
      </c>
      <c r="AA27" s="5"/>
      <c r="AB27" s="5"/>
    </row>
    <row r="28" spans="2:28" ht="12.75">
      <c r="B28" t="s">
        <v>6</v>
      </c>
      <c r="E28" s="6" t="s">
        <v>9</v>
      </c>
      <c r="F28" s="100">
        <f>IF(hrateon=1,0,padiv)</f>
        <v>11850</v>
      </c>
      <c r="M28">
        <f>IF(testpercentdiv-D32&lt;0,0,testpercentdiv-D32)</f>
        <v>0</v>
      </c>
      <c r="Q28" s="6"/>
      <c r="AA28" s="5"/>
      <c r="AB28" s="5"/>
    </row>
    <row r="29" spans="2:28" ht="12.75">
      <c r="B29" s="90"/>
      <c r="M29" s="5">
        <f>IF((test22percentdiv-D34)&gt;0,+D34*B34,test22percentdiv*B34)</f>
        <v>0</v>
      </c>
      <c r="AA29" s="5"/>
      <c r="AB29" s="5"/>
    </row>
    <row r="30" spans="2:28" ht="12.75">
      <c r="B30" t="s">
        <v>7</v>
      </c>
      <c r="F30" s="6">
        <f>IF(totaldiv-padiv&gt;0,totaldiv-padiv,0)</f>
        <v>300</v>
      </c>
      <c r="M30" s="5" t="s">
        <v>9</v>
      </c>
      <c r="Q30">
        <v>201112</v>
      </c>
      <c r="R30">
        <v>201112</v>
      </c>
      <c r="S30" s="14"/>
      <c r="AA30" s="5"/>
      <c r="AB30" s="5"/>
    </row>
    <row r="31" spans="4:28" ht="12.75">
      <c r="D31" s="6" t="s">
        <v>11</v>
      </c>
      <c r="G31" t="s">
        <v>366</v>
      </c>
      <c r="M31" s="6">
        <f>IF(chargeabletotaxdivroute-D32-D34&gt;0,(chargeabletotaxdivroute-E32-E34)*B36,0)</f>
        <v>0</v>
      </c>
      <c r="O31" t="s">
        <v>205</v>
      </c>
      <c r="P31">
        <v>1</v>
      </c>
      <c r="Q31" s="190">
        <f aca="true" t="shared" si="0" ref="Q31:R33">smallcosrate</f>
        <v>0.19</v>
      </c>
      <c r="R31" s="190">
        <f t="shared" si="0"/>
        <v>0.19</v>
      </c>
      <c r="S31" s="14">
        <f>IF(chooseyear=1,Q31,IF(chooseyear=2,R31))</f>
        <v>0.19</v>
      </c>
      <c r="AA31" s="5"/>
      <c r="AB31" s="5"/>
    </row>
    <row r="32" spans="2:28" ht="12.75">
      <c r="B32" s="4">
        <f>tenpercentrate</f>
        <v>0</v>
      </c>
      <c r="C32" t="s">
        <v>10</v>
      </c>
      <c r="D32" s="6">
        <f>divtaxfree</f>
        <v>2000</v>
      </c>
      <c r="E32" s="6">
        <f>D32*B32</f>
        <v>0</v>
      </c>
      <c r="M32" s="5" t="s">
        <v>9</v>
      </c>
      <c r="P32">
        <v>2</v>
      </c>
      <c r="Q32" s="190">
        <f t="shared" si="0"/>
        <v>0.19</v>
      </c>
      <c r="R32" s="190">
        <f t="shared" si="0"/>
        <v>0.19</v>
      </c>
      <c r="S32" s="14">
        <f>IF(chooseyear=1,Q32,IF(chooseyear=2,R32))</f>
        <v>0.19</v>
      </c>
      <c r="AA32" s="5"/>
      <c r="AB32" s="5"/>
    </row>
    <row r="33" spans="13:28" ht="12.75">
      <c r="M33" s="5" t="s">
        <v>9</v>
      </c>
      <c r="P33">
        <v>3</v>
      </c>
      <c r="Q33" s="190">
        <f t="shared" si="0"/>
        <v>0.19</v>
      </c>
      <c r="R33" s="190">
        <f t="shared" si="0"/>
        <v>0.19</v>
      </c>
      <c r="S33" s="14">
        <f>IF(chooseyear=1,Q33,IF(chooseyear=2,R33))</f>
        <v>0.19</v>
      </c>
      <c r="AA33" s="5"/>
      <c r="AB33" s="5"/>
    </row>
    <row r="34" spans="2:28" ht="12.75">
      <c r="B34" s="14">
        <f>NewBrDiv</f>
        <v>0.075</v>
      </c>
      <c r="C34" t="s">
        <v>10</v>
      </c>
      <c r="D34" s="6">
        <f>IF(retannuity&lt;0,basicrateband+brateextension+retannuity-divtaxfree,basicrateband+brateextension-divtaxfree)</f>
        <v>32500</v>
      </c>
      <c r="E34" s="6">
        <f>M29</f>
        <v>0</v>
      </c>
      <c r="M34" t="s">
        <v>9</v>
      </c>
      <c r="P34">
        <v>4</v>
      </c>
      <c r="Q34" s="190">
        <f>marginalcosrate</f>
        <v>0.19</v>
      </c>
      <c r="R34" s="190">
        <f>marginalcosrate</f>
        <v>0.19</v>
      </c>
      <c r="S34" s="14">
        <f>IF(chooseyear=1,Q34,IF(chooseyear=2,R34))</f>
        <v>0.19</v>
      </c>
      <c r="AA34" s="5"/>
      <c r="AB34" s="5"/>
    </row>
    <row r="35" spans="2:28" ht="12.75">
      <c r="B35" s="14">
        <f>NewDivRate1</f>
        <v>0.325</v>
      </c>
      <c r="D35" s="6">
        <f>IF(chargeabletotaxdivroute-$D$34-D32&gt;hrtaxband2-D34-D32,hrtaxband2-D34-D32,IF(chargeabletotaxdivroute-$D$34-D32&gt;0,chargeabletotaxdivroute-D34-D32,0))</f>
        <v>0</v>
      </c>
      <c r="E35" s="6">
        <f>D35*B35</f>
        <v>0</v>
      </c>
      <c r="P35">
        <v>5</v>
      </c>
      <c r="Q35" s="190">
        <f>fullcosrate</f>
        <v>0.19</v>
      </c>
      <c r="R35" s="190">
        <f>fullcosrate</f>
        <v>0.19</v>
      </c>
      <c r="S35" s="14">
        <f>IF(chooseyear=1,Q35,IF(chooseyear=2,R35))</f>
        <v>0.19</v>
      </c>
      <c r="AA35" s="5"/>
      <c r="AB35" s="5"/>
    </row>
    <row r="36" spans="2:28" ht="12.75">
      <c r="B36" s="240">
        <f>NewDivRate2</f>
        <v>0.381</v>
      </c>
      <c r="C36" t="s">
        <v>10</v>
      </c>
      <c r="D36" s="6">
        <f>IF(chargeabletotaxdivroute&gt;hrtaxband2,chargeabletotaxdivroute-hrtaxband2,0)</f>
        <v>0</v>
      </c>
      <c r="E36" s="6">
        <f>D36*B36</f>
        <v>0</v>
      </c>
      <c r="F36" s="7">
        <f>SUM(E32:E36)</f>
        <v>0</v>
      </c>
      <c r="H36" s="117">
        <f>IF((totaldiv-D32-F28)&lt;0,0,(totaldiv-D32-F28)*HRateDivPercent)</f>
        <v>0</v>
      </c>
      <c r="AA36" s="5"/>
      <c r="AB36" s="5"/>
    </row>
    <row r="37" spans="2:28" ht="12.75">
      <c r="B37" t="s">
        <v>66</v>
      </c>
      <c r="D37" s="6">
        <f>SUM(D32:D36)</f>
        <v>34500</v>
      </c>
      <c r="F37" s="6">
        <f>M40</f>
        <v>0</v>
      </c>
      <c r="H37" s="117">
        <f>-F26</f>
        <v>0</v>
      </c>
      <c r="M37" s="6">
        <f>-F26</f>
        <v>0</v>
      </c>
      <c r="T37" t="s">
        <v>9</v>
      </c>
      <c r="AA37" s="5"/>
      <c r="AB37" s="5"/>
    </row>
    <row r="38" spans="2:28" ht="12.75">
      <c r="B38" t="s">
        <v>91</v>
      </c>
      <c r="M38" s="6"/>
      <c r="AA38" s="5"/>
      <c r="AB38" s="5"/>
    </row>
    <row r="39" spans="2:28" ht="12.75">
      <c r="B39" t="s">
        <v>67</v>
      </c>
      <c r="D39" s="6" t="s">
        <v>9</v>
      </c>
      <c r="F39" s="6">
        <f>IF(F36+F37&gt;0,F36+F37,0)</f>
        <v>0</v>
      </c>
      <c r="I39" t="s">
        <v>140</v>
      </c>
      <c r="K39" t="s">
        <v>68</v>
      </c>
      <c r="M39">
        <f>IF(totaldiv&gt;padiv,padiv*0%,+D36*0%)</f>
        <v>0</v>
      </c>
      <c r="AA39" s="5"/>
      <c r="AB39" s="5"/>
    </row>
    <row r="40" spans="3:28" ht="12.75">
      <c r="C40" t="s">
        <v>9</v>
      </c>
      <c r="D40" s="6" t="s">
        <v>9</v>
      </c>
      <c r="F40" s="6">
        <f>IF(addltaxondivs&lt;0.1,0,addltaxondivs)</f>
        <v>0</v>
      </c>
      <c r="H40" s="117">
        <f>+H36+H37</f>
        <v>0</v>
      </c>
      <c r="I40" s="6">
        <f>IF(hrateon=1,H40,F40)</f>
        <v>0</v>
      </c>
      <c r="M40" s="6">
        <f>SUM(M37:M39)</f>
        <v>0</v>
      </c>
      <c r="O40" s="90"/>
      <c r="R40" s="151"/>
      <c r="AA40" s="5"/>
      <c r="AB40" s="5"/>
    </row>
    <row r="41" spans="3:30" ht="12.75">
      <c r="C41" t="s">
        <v>9</v>
      </c>
      <c r="D41" s="6" t="s">
        <v>9</v>
      </c>
      <c r="AA41" s="5"/>
      <c r="AB41" s="5"/>
      <c r="AD41" s="5"/>
    </row>
    <row r="42" spans="27:30" ht="12.75">
      <c r="AA42" s="5"/>
      <c r="AB42" s="5"/>
      <c r="AD42" s="5"/>
    </row>
    <row r="43" spans="2:30" ht="12.75">
      <c r="B43" s="15" t="s">
        <v>43</v>
      </c>
      <c r="AA43" s="5"/>
      <c r="AB43" s="5"/>
      <c r="AD43" s="5"/>
    </row>
    <row r="44" spans="2:30" ht="12.75">
      <c r="B44" t="s">
        <v>42</v>
      </c>
      <c r="F44" s="7">
        <f>IF(goodwilldeductible=1,ctaxprofit-goodwillperpartner,ctaxprofit)</f>
        <v>15000</v>
      </c>
      <c r="M44" s="1" t="s">
        <v>165</v>
      </c>
      <c r="AA44" s="5"/>
      <c r="AB44" s="5"/>
      <c r="AD44" s="5"/>
    </row>
    <row r="45" spans="6:30" ht="12.75">
      <c r="F45" s="7">
        <f>numberofparts</f>
        <v>1</v>
      </c>
      <c r="J45" t="s">
        <v>123</v>
      </c>
      <c r="K45">
        <v>0</v>
      </c>
      <c r="L45" s="101">
        <f>S31</f>
        <v>0.19</v>
      </c>
      <c r="M45" s="253">
        <f>Input!$L$9</f>
        <v>1</v>
      </c>
      <c r="AA45" s="5"/>
      <c r="AB45" s="5"/>
      <c r="AD45" s="5"/>
    </row>
    <row r="46" spans="2:30" ht="12.75">
      <c r="B46" t="s">
        <v>20</v>
      </c>
      <c r="F46" s="7">
        <f>IF(goodwilldeductible=1,((ctaxprofit-goodwillperpartner)*numberofparts),ctaxprofit*numberofparts)</f>
        <v>15000</v>
      </c>
      <c r="J46" t="s">
        <v>124</v>
      </c>
      <c r="K46" t="s">
        <v>9</v>
      </c>
      <c r="L46" s="101">
        <f>S32</f>
        <v>0.19</v>
      </c>
      <c r="P46" s="6">
        <f>F46</f>
        <v>15000</v>
      </c>
      <c r="Q46">
        <f>ctbandlower/asscos</f>
        <v>300000</v>
      </c>
      <c r="R46">
        <f>IF(P46&gt;Q46,P46,0)</f>
        <v>0</v>
      </c>
      <c r="S46" s="4">
        <f>ctaxmainrate</f>
        <v>0.19</v>
      </c>
      <c r="T46" s="6">
        <f>+R46*S46</f>
        <v>0</v>
      </c>
      <c r="U46" s="157">
        <f>V52</f>
        <v>0</v>
      </c>
      <c r="V46" s="5">
        <f>(1500000/asscos)-R46</f>
        <v>1500000</v>
      </c>
      <c r="W46" s="6">
        <f>IF(+V46*U46&gt;0,+V46*U46,0)</f>
        <v>0</v>
      </c>
      <c r="X46" s="6">
        <f>IF(T46-W46&lt;0,0,T46-W46)</f>
        <v>0</v>
      </c>
      <c r="AA46" s="5"/>
      <c r="AB46" s="5"/>
      <c r="AD46" s="5"/>
    </row>
    <row r="47" spans="12:30" ht="12.75">
      <c r="L47" s="101">
        <f>S33</f>
        <v>0.19</v>
      </c>
      <c r="P47" s="6">
        <f>F46</f>
        <v>15000</v>
      </c>
      <c r="Q47">
        <f>lowermarginalband/asscos</f>
        <v>50000</v>
      </c>
      <c r="R47">
        <f>IF(P47&gt;Q47,P47,0)</f>
        <v>0</v>
      </c>
      <c r="S47" s="4">
        <f>marginallower</f>
        <v>0.19</v>
      </c>
      <c r="T47" s="6">
        <f>+R47*S47</f>
        <v>0</v>
      </c>
      <c r="U47" s="157">
        <f>V52</f>
        <v>0</v>
      </c>
      <c r="V47">
        <f>IF(50000/asscos-R47&gt;P47,(50000/asscos-R47),0)</f>
        <v>50000</v>
      </c>
      <c r="W47" s="6">
        <f>IF((+V47*U47)&gt;0,(+V47*U47),0)</f>
        <v>0</v>
      </c>
      <c r="X47" s="6">
        <f>IF(X46&gt;0,0,IF(T47-W47&lt;0,0,T47-W47))</f>
        <v>0</v>
      </c>
      <c r="AA47" s="5"/>
      <c r="AB47" s="30"/>
      <c r="AD47" s="5"/>
    </row>
    <row r="48" spans="2:30" ht="12.75">
      <c r="B48" t="s">
        <v>12</v>
      </c>
      <c r="F48" s="6">
        <f>K45/M45</f>
        <v>0</v>
      </c>
      <c r="H48" s="262">
        <v>50000</v>
      </c>
      <c r="J48" t="s">
        <v>137</v>
      </c>
      <c r="L48" s="101">
        <f>S34</f>
        <v>0.19</v>
      </c>
      <c r="N48" t="s">
        <v>9</v>
      </c>
      <c r="P48" s="6">
        <f>F46</f>
        <v>15000</v>
      </c>
      <c r="Q48">
        <f>lowermarginalband/asscos</f>
        <v>50000</v>
      </c>
      <c r="R48">
        <f>IF(P48&lt;=Q48,P48,0)</f>
        <v>15000</v>
      </c>
      <c r="S48" s="4">
        <f>marginallower</f>
        <v>0.19</v>
      </c>
      <c r="T48" s="6">
        <f>R48*S48</f>
        <v>2850</v>
      </c>
      <c r="U48" s="157">
        <v>0</v>
      </c>
      <c r="V48">
        <f>(50000/asscos-R48)</f>
        <v>35000</v>
      </c>
      <c r="W48" s="6">
        <f>IF((+V48*U48)&gt;0,+V48*U48,0)</f>
        <v>0</v>
      </c>
      <c r="X48" s="6">
        <f>IF(T48-W48&lt;0,0,T48-W48)</f>
        <v>2850</v>
      </c>
      <c r="AA48" s="5"/>
      <c r="AB48" s="5"/>
      <c r="AD48" s="5"/>
    </row>
    <row r="49" spans="12:30" ht="12.75">
      <c r="L49" s="101">
        <f>S35</f>
        <v>0.19</v>
      </c>
      <c r="Q49" s="14"/>
      <c r="T49" s="5"/>
      <c r="X49" s="17">
        <f>SUM(X46:X48)</f>
        <v>2850</v>
      </c>
      <c r="AA49" s="5"/>
      <c r="AB49" s="5"/>
      <c r="AD49" s="5"/>
    </row>
    <row r="50" spans="6:30" ht="12.75">
      <c r="F50" s="6">
        <f>+F46-F48</f>
        <v>15000</v>
      </c>
      <c r="H50" s="117">
        <f>overallctprofit-lowermarginalband</f>
        <v>-35000</v>
      </c>
      <c r="I50" t="s">
        <v>9</v>
      </c>
      <c r="J50" s="1"/>
      <c r="K50" s="1"/>
      <c r="P50" s="14"/>
      <c r="Q50" s="14"/>
      <c r="S50" s="114"/>
      <c r="AA50" s="5"/>
      <c r="AB50" s="5"/>
      <c r="AD50" s="5"/>
    </row>
    <row r="51" spans="10:30" ht="12.75">
      <c r="J51" s="100">
        <f>IF(goodwilldeductible=1,overallctprofit-goodwillprofitdeduction,overallctprofit)</f>
        <v>15000</v>
      </c>
      <c r="K51" s="100">
        <f>IF(goodwilldeductible=1,overallctprofit-goodwillprofitdeduction,overallctprofit)</f>
        <v>15000</v>
      </c>
      <c r="P51" s="14"/>
      <c r="Q51" s="14"/>
      <c r="S51" s="114"/>
      <c r="AA51" s="5"/>
      <c r="AB51" s="5"/>
      <c r="AD51" s="5"/>
    </row>
    <row r="52" spans="2:30" ht="12.75">
      <c r="B52" t="s">
        <v>17</v>
      </c>
      <c r="F52" s="6">
        <f>IF(chooseyear=1,X49,X49)</f>
        <v>2850</v>
      </c>
      <c r="J52" s="6">
        <f>IF(overallctprofit&gt;(ctbandlower/asscos),(ctbandlower/asscos)*ctrate3,IF(overallctprofit&gt;(lowermarginalband/asscos),overallctprofit*ctrate3,IF(overallctprofit&lt;lowerctband,overallctprofit*0%,((overallctprofit-lowerctband)*marginalctrate)+lowerctband*0%)))</f>
        <v>2850</v>
      </c>
      <c r="K52" s="6">
        <f>IF(overallctprofit&gt;(ctbandlower/asscos),(ctbandlower/asscos)*ctrate3,IF(overallctprofit&gt;(lowermarginalband/asscos),overallctprofit*ctrate3,IF(overallctprofit&lt;lowerctband,K51*0%,((overallctprofit-lowerctband)*marginalctrate)+lowerctband*0%)))</f>
        <v>2850</v>
      </c>
      <c r="L52" t="s">
        <v>9</v>
      </c>
      <c r="Q52" s="14"/>
      <c r="S52" s="114"/>
      <c r="U52" s="189">
        <f>marginalfraction</f>
        <v>0</v>
      </c>
      <c r="V52" s="157">
        <f>IF(chooseyear=1,U52,IF(chooseyear=2,U53,))</f>
        <v>0</v>
      </c>
      <c r="AA52" s="5"/>
      <c r="AB52" s="5"/>
      <c r="AD52" s="5"/>
    </row>
    <row r="53" spans="2:30" ht="12.75">
      <c r="B53" t="s">
        <v>44</v>
      </c>
      <c r="F53" s="6">
        <f>ROUND(ctaxdivroute/numberofparts,2)</f>
        <v>2850</v>
      </c>
      <c r="J53" s="6">
        <f>IF((J51&gt;(1500000/asscos)),(J51*ctaxmainrate)-J52,IF(J51&gt;(300000/asscos),(J51-(300000/asscos))*uppermarginal,0))</f>
        <v>0</v>
      </c>
      <c r="K53" s="6">
        <f>IF((K51&gt;(1500000/asscos)),(K51*ctaxmainrate)-K52,IF(K51&gt;(300000/asscos),(K51-(300000/asscos))*uppermarginal,0))</f>
        <v>0</v>
      </c>
      <c r="P53" s="4" t="s">
        <v>9</v>
      </c>
      <c r="Q53" s="14"/>
      <c r="S53" s="114"/>
      <c r="U53" s="189">
        <f>marginalfraction</f>
        <v>0</v>
      </c>
      <c r="V53" s="157"/>
      <c r="AA53" s="5"/>
      <c r="AB53" s="5"/>
      <c r="AD53" s="5"/>
    </row>
    <row r="54" spans="2:30" ht="12.75">
      <c r="B54" t="s">
        <v>9</v>
      </c>
      <c r="H54" s="117" t="s">
        <v>9</v>
      </c>
      <c r="J54" s="6">
        <f>SUM(J52:J53)</f>
        <v>2850</v>
      </c>
      <c r="K54" s="6">
        <f>SUM(K52:K53)</f>
        <v>2850</v>
      </c>
      <c r="P54" s="4" t="s">
        <v>9</v>
      </c>
      <c r="S54" s="114"/>
      <c r="U54" s="157" t="s">
        <v>9</v>
      </c>
      <c r="V54" s="157"/>
      <c r="AA54" s="5"/>
      <c r="AB54" s="5"/>
      <c r="AD54" s="5"/>
    </row>
    <row r="55" spans="2:30" ht="12.75">
      <c r="B55" t="s">
        <v>45</v>
      </c>
      <c r="E55" s="6" t="s">
        <v>9</v>
      </c>
      <c r="F55" s="7">
        <f>ROUND(ctaxprofit-netctaxdivroute,2)</f>
        <v>12150</v>
      </c>
      <c r="I55" s="5"/>
      <c r="S55" s="114"/>
      <c r="AA55" s="5"/>
      <c r="AB55" s="5"/>
      <c r="AD55" s="5"/>
    </row>
    <row r="56" spans="9:30" ht="12.75">
      <c r="I56" s="5"/>
      <c r="S56" s="114"/>
      <c r="AA56" s="5"/>
      <c r="AB56" s="5"/>
      <c r="AD56" s="5"/>
    </row>
    <row r="57" spans="9:30" ht="12.75">
      <c r="I57" s="5"/>
      <c r="S57" s="114"/>
      <c r="AA57" s="5"/>
      <c r="AB57" s="5"/>
      <c r="AD57" s="5"/>
    </row>
    <row r="58" spans="9:30" ht="12.75">
      <c r="I58" s="5"/>
      <c r="AA58" s="5"/>
      <c r="AB58" s="5"/>
      <c r="AD58" s="5"/>
    </row>
    <row r="59" spans="9:30" ht="12.75">
      <c r="I59" s="5"/>
      <c r="AA59" s="5"/>
      <c r="AB59" s="5"/>
      <c r="AD59" s="5"/>
    </row>
    <row r="60" spans="2:30" ht="12.75">
      <c r="B60" t="s">
        <v>29</v>
      </c>
      <c r="C60" t="s">
        <v>31</v>
      </c>
      <c r="D60" s="6" t="s">
        <v>32</v>
      </c>
      <c r="I60" s="5"/>
      <c r="AA60" s="5"/>
      <c r="AB60" s="5"/>
      <c r="AD60" s="5"/>
    </row>
    <row r="61" spans="9:30" ht="12.75">
      <c r="I61" s="5"/>
      <c r="O61" s="90" t="s">
        <v>245</v>
      </c>
      <c r="Q61" s="253">
        <v>300000</v>
      </c>
      <c r="R61" s="254">
        <f>IF(chooseyear=1,Q61,Q62)</f>
        <v>300000</v>
      </c>
      <c r="AA61" s="5"/>
      <c r="AB61" s="5"/>
      <c r="AD61" s="5"/>
    </row>
    <row r="62" spans="2:30" ht="12.75">
      <c r="B62" t="s">
        <v>30</v>
      </c>
      <c r="C62" s="208"/>
      <c r="D62" s="209">
        <f>class4niupper</f>
        <v>46350</v>
      </c>
      <c r="I62" s="5"/>
      <c r="Q62" s="253">
        <v>300000</v>
      </c>
      <c r="AA62" s="5"/>
      <c r="AB62" s="5"/>
      <c r="AD62" s="5"/>
    </row>
    <row r="63" spans="1:30" ht="12.75">
      <c r="A63" t="s">
        <v>9</v>
      </c>
      <c r="B63" t="s">
        <v>33</v>
      </c>
      <c r="C63" s="208"/>
      <c r="D63" s="209">
        <f>lelni</f>
        <v>8424</v>
      </c>
      <c r="I63" s="5" t="s">
        <v>9</v>
      </c>
      <c r="AA63" s="5"/>
      <c r="AB63" s="5"/>
      <c r="AD63" s="5"/>
    </row>
    <row r="64" spans="2:30" ht="12.75">
      <c r="B64" t="s">
        <v>34</v>
      </c>
      <c r="C64" s="240">
        <f>eesnirate</f>
        <v>0.12</v>
      </c>
      <c r="D64" s="210" t="s">
        <v>9</v>
      </c>
      <c r="I64" s="14" t="s">
        <v>9</v>
      </c>
      <c r="J64" s="269" t="s">
        <v>9</v>
      </c>
      <c r="K64" s="269" t="s">
        <v>9</v>
      </c>
      <c r="Q64" s="253">
        <v>1500000</v>
      </c>
      <c r="R64" s="254">
        <f>IF(chooseyear=1,Q64,Q65)</f>
        <v>1500000</v>
      </c>
      <c r="AA64" s="5"/>
      <c r="AB64" s="5"/>
      <c r="AD64" s="5"/>
    </row>
    <row r="65" spans="2:30" ht="12.75">
      <c r="B65" t="s">
        <v>35</v>
      </c>
      <c r="C65" s="240">
        <f>IF(chooseyear=1,J65,K65)</f>
        <v>0.138</v>
      </c>
      <c r="D65" s="210" t="s">
        <v>9</v>
      </c>
      <c r="F65" s="6">
        <f>1/ersnirate</f>
        <v>7.246376811594202</v>
      </c>
      <c r="G65" s="15" t="s">
        <v>56</v>
      </c>
      <c r="I65" s="14" t="s">
        <v>9</v>
      </c>
      <c r="J65" s="190">
        <v>0.138</v>
      </c>
      <c r="K65" s="190">
        <v>0.138</v>
      </c>
      <c r="L65">
        <f>1/K65</f>
        <v>7.246376811594202</v>
      </c>
      <c r="Q65" s="253">
        <v>1500000</v>
      </c>
      <c r="AA65" s="5"/>
      <c r="AB65" s="5"/>
      <c r="AD65" s="5"/>
    </row>
    <row r="66" spans="3:30" ht="12.75">
      <c r="C66" s="240">
        <f>IF(chooseyear=1,J66,K66)</f>
        <v>0.02</v>
      </c>
      <c r="D66" s="210" t="s">
        <v>9</v>
      </c>
      <c r="I66" s="14" t="s">
        <v>9</v>
      </c>
      <c r="J66" s="190">
        <v>0.02</v>
      </c>
      <c r="K66" s="190">
        <v>0.02</v>
      </c>
      <c r="AA66" s="5"/>
      <c r="AB66" s="5"/>
      <c r="AD66" s="5"/>
    </row>
    <row r="67" spans="3:30" ht="12.75">
      <c r="C67" s="6"/>
      <c r="I67" s="5"/>
      <c r="AA67" s="5"/>
      <c r="AB67" s="5"/>
      <c r="AD67" s="5"/>
    </row>
    <row r="68" spans="3:30" ht="12.75">
      <c r="C68" s="6"/>
      <c r="I68" s="5"/>
      <c r="AA68" s="5"/>
      <c r="AB68" s="5"/>
      <c r="AD68" s="5"/>
    </row>
    <row r="69" spans="3:30" ht="12.75">
      <c r="C69" s="6"/>
      <c r="I69" s="5"/>
      <c r="O69" s="90" t="s">
        <v>9</v>
      </c>
      <c r="Q69">
        <f>nimonths</f>
        <v>0</v>
      </c>
      <c r="AA69" s="5"/>
      <c r="AB69" s="5"/>
      <c r="AD69" s="5"/>
    </row>
    <row r="70" spans="5:30" ht="12.75">
      <c r="E70" s="6" t="s">
        <v>180</v>
      </c>
      <c r="I70" s="5"/>
      <c r="P70" t="b">
        <f>nicexemption</f>
        <v>0</v>
      </c>
      <c r="Q70">
        <f>IF(P70=TRUE,1,0)</f>
        <v>0</v>
      </c>
      <c r="AA70" s="5"/>
      <c r="AB70" s="5"/>
      <c r="AD70" s="5"/>
    </row>
    <row r="71" spans="2:30" ht="12.75">
      <c r="B71" s="1" t="s">
        <v>51</v>
      </c>
      <c r="I71" s="5"/>
      <c r="AA71" s="5"/>
      <c r="AB71" s="5"/>
      <c r="AD71" s="5"/>
    </row>
    <row r="72" spans="9:30" ht="12.75">
      <c r="I72" s="5"/>
      <c r="AA72" s="5"/>
      <c r="AB72" s="5"/>
      <c r="AD72" s="5"/>
    </row>
    <row r="73" spans="2:30" ht="12.75">
      <c r="B73" t="s">
        <v>42</v>
      </c>
      <c r="F73" s="7">
        <f>IF(goodwilldeductible=1,ctaxprofit-goodwillperpartner,ctaxprofit)</f>
        <v>15000</v>
      </c>
      <c r="I73" s="5"/>
      <c r="AA73" s="5"/>
      <c r="AB73" s="5"/>
      <c r="AD73" s="5"/>
    </row>
    <row r="74" spans="6:30" ht="12.75">
      <c r="F74" s="7">
        <f>numberofparts</f>
        <v>1</v>
      </c>
      <c r="AA74" s="5"/>
      <c r="AB74" s="5"/>
      <c r="AD74" s="5"/>
    </row>
    <row r="75" spans="2:30" ht="12.75">
      <c r="B75" t="s">
        <v>20</v>
      </c>
      <c r="F75" s="7">
        <f>IF(goodwilldeductible=1,((ctaxprofit-goodwillperpartner)*numberofparts),ctaxprofit*numberofparts)</f>
        <v>15000</v>
      </c>
      <c r="AA75" s="5"/>
      <c r="AB75" s="5"/>
      <c r="AD75" s="5"/>
    </row>
    <row r="76" spans="14:30" ht="12.75">
      <c r="N76">
        <f>netavailableforsalary2</f>
        <v>15000</v>
      </c>
      <c r="AA76" s="5"/>
      <c r="AB76" s="5"/>
      <c r="AD76" s="5"/>
    </row>
    <row r="77" spans="2:30" ht="12.75">
      <c r="B77" t="s">
        <v>12</v>
      </c>
      <c r="F77" s="6">
        <f>lowerctband</f>
        <v>0</v>
      </c>
      <c r="G77" t="s">
        <v>60</v>
      </c>
      <c r="I77">
        <v>50000</v>
      </c>
      <c r="N77">
        <f>lelniers</f>
        <v>8424</v>
      </c>
      <c r="AA77" s="5"/>
      <c r="AB77" s="5"/>
      <c r="AD77" s="5"/>
    </row>
    <row r="78" spans="4:30" ht="12.75">
      <c r="D78" s="191" t="s">
        <v>9</v>
      </c>
      <c r="AA78" s="5"/>
      <c r="AB78" s="5"/>
      <c r="AD78" s="5"/>
    </row>
    <row r="79" spans="6:30" ht="12.75">
      <c r="F79" s="6" t="s">
        <v>9</v>
      </c>
      <c r="I79" s="13">
        <f>IF(ctnetoflower&gt;lowerctband,lowerctband,ctnetoflower)</f>
        <v>0</v>
      </c>
      <c r="AA79" s="5"/>
      <c r="AB79" s="5"/>
      <c r="AD79" s="5"/>
    </row>
    <row r="80" spans="2:30" ht="12.75">
      <c r="B80" s="1" t="s">
        <v>83</v>
      </c>
      <c r="E80" s="151">
        <f>grossedupprofit2/numberofparts</f>
        <v>0</v>
      </c>
      <c r="F80" s="6">
        <f>E80/numberofparts</f>
        <v>0</v>
      </c>
      <c r="AA80" s="5"/>
      <c r="AB80" s="5"/>
      <c r="AD80" s="5"/>
    </row>
    <row r="81" spans="2:30" ht="12.75">
      <c r="B81" s="1" t="s">
        <v>59</v>
      </c>
      <c r="E81" s="6">
        <f>grossedupprofit2</f>
        <v>0</v>
      </c>
      <c r="F81" s="6">
        <f>E81/numberofparts</f>
        <v>0</v>
      </c>
      <c r="I81" t="s">
        <v>9</v>
      </c>
      <c r="M81" t="s">
        <v>9</v>
      </c>
      <c r="AA81" s="5"/>
      <c r="AB81" s="5"/>
      <c r="AD81" s="5"/>
    </row>
    <row r="82" spans="2:30" ht="12.75">
      <c r="B82" t="s">
        <v>17</v>
      </c>
      <c r="E82" s="151">
        <f>J86</f>
        <v>0</v>
      </c>
      <c r="F82" s="6">
        <f>J86</f>
        <v>0</v>
      </c>
      <c r="I82" t="s">
        <v>9</v>
      </c>
      <c r="J82" s="1"/>
      <c r="K82" s="1"/>
      <c r="M82" t="s">
        <v>9</v>
      </c>
      <c r="AA82" s="5"/>
      <c r="AB82" s="5"/>
      <c r="AD82" s="5"/>
    </row>
    <row r="83" spans="2:30" ht="12.75">
      <c r="B83" t="s">
        <v>44</v>
      </c>
      <c r="F83" s="7">
        <f>ROUND(ctaxsalaryroute/numberofparts,2)</f>
        <v>0</v>
      </c>
      <c r="I83" t="s">
        <v>9</v>
      </c>
      <c r="J83" s="6">
        <f>F80*numberofparts</f>
        <v>0</v>
      </c>
      <c r="K83" s="6">
        <f>$F$80*numberofparts</f>
        <v>0</v>
      </c>
      <c r="M83" t="s">
        <v>9</v>
      </c>
      <c r="S83">
        <f>lelniers</f>
        <v>8424</v>
      </c>
      <c r="AA83" s="5"/>
      <c r="AB83" s="5"/>
      <c r="AD83" s="5"/>
    </row>
    <row r="84" spans="9:30" ht="12.75">
      <c r="I84" s="14" t="s">
        <v>9</v>
      </c>
      <c r="J84" s="6">
        <f>newctcalc/numberofparts</f>
        <v>0</v>
      </c>
      <c r="K84" s="6">
        <f>IF(K83&gt;(ctbandlower/asscos),(ctbandlower/asscos)*ctrate3,IF(K83&gt;(50000/asscos),K83*ctrate3,IF(K83&lt;lowerctband,K83*0%,((K83-lowerctband)*marginalctrate)+lowerctband*0%)))</f>
        <v>0</v>
      </c>
      <c r="M84" t="s">
        <v>9</v>
      </c>
      <c r="S84">
        <f>netavailableforsalary2</f>
        <v>15000</v>
      </c>
      <c r="AA84" s="5"/>
      <c r="AB84" s="5"/>
      <c r="AD84" s="5"/>
    </row>
    <row r="85" spans="2:30" ht="12.75">
      <c r="B85" t="s">
        <v>52</v>
      </c>
      <c r="E85" s="154">
        <f>F85</f>
        <v>15000</v>
      </c>
      <c r="F85" s="7">
        <f>IF(goodwilldeductible=1,(ctaxprofit-liabletoct2-goodwillperpartner),ctaxprofit-liabletoct2)</f>
        <v>15000</v>
      </c>
      <c r="H85" s="117" t="s">
        <v>9</v>
      </c>
      <c r="J85" s="191" t="s">
        <v>9</v>
      </c>
      <c r="K85" s="6">
        <f>IF((K83&gt;(ctbandupper/asscos)),(K83*ctaxmainrate)-K84,IF(K83&gt;(ctbandlower/asscos),(K83-(ctbandlower/asscos))*uppermarginal,0))</f>
        <v>0</v>
      </c>
      <c r="M85" s="5" t="s">
        <v>9</v>
      </c>
      <c r="AA85" s="5"/>
      <c r="AB85" s="5"/>
      <c r="AD85" s="5"/>
    </row>
    <row r="86" spans="10:30" ht="12.75">
      <c r="J86" s="6">
        <f>SUM(J84:J85)</f>
        <v>0</v>
      </c>
      <c r="K86" s="6">
        <f>SUM(K84:K85)</f>
        <v>0</v>
      </c>
      <c r="M86" s="5" t="s">
        <v>9</v>
      </c>
      <c r="AA86" s="5"/>
      <c r="AB86" s="5"/>
      <c r="AD86" s="5"/>
    </row>
    <row r="87" spans="2:30" ht="12.75">
      <c r="B87" t="s">
        <v>33</v>
      </c>
      <c r="E87" s="6">
        <f>lelniers</f>
        <v>8424</v>
      </c>
      <c r="F87" s="6">
        <f>lelniers</f>
        <v>8424</v>
      </c>
      <c r="I87" s="265"/>
      <c r="J87" s="215"/>
      <c r="K87" s="215"/>
      <c r="L87" s="216"/>
      <c r="M87" s="6">
        <f>IF(netavailableforsalary2&lt;lelniers,netavailableforsalary2,((netavailableforsalary2*oneoverersnirate)+lelniers)/(1+oneoverersnirate))</f>
        <v>14202.558875219684</v>
      </c>
      <c r="AA87" s="5"/>
      <c r="AB87" s="5"/>
      <c r="AD87" s="5"/>
    </row>
    <row r="88" spans="6:30" ht="12.75">
      <c r="F88" s="6" t="s">
        <v>9</v>
      </c>
      <c r="I88" s="72"/>
      <c r="J88" s="217"/>
      <c r="K88" s="217"/>
      <c r="L88" s="221"/>
      <c r="AA88" s="5"/>
      <c r="AB88" s="5"/>
      <c r="AD88" s="5"/>
    </row>
    <row r="89" spans="2:30" ht="12.75">
      <c r="B89" t="s">
        <v>54</v>
      </c>
      <c r="F89" s="241">
        <f>IF(chooseyear=1,J89,K89)</f>
        <v>14202.56</v>
      </c>
      <c r="I89" s="72"/>
      <c r="J89" s="289">
        <f>IF(netavailableforsalary2&lt;lelniers,netavailableforsalary2,netavailableforsalary2-J95)</f>
        <v>14202.56</v>
      </c>
      <c r="K89" s="289">
        <f>IF(netavailableforsalary2&lt;lelniers,netavailableforsalary2,netavailableforsalary2-K95)</f>
        <v>14202.56</v>
      </c>
      <c r="L89" s="221"/>
      <c r="M89" s="289" t="s">
        <v>234</v>
      </c>
      <c r="S89" s="219">
        <f>IF(netavailableforsalary2&lt;lelniers,netavailableforsalary2,netavailableforsalary2)</f>
        <v>15000</v>
      </c>
      <c r="T89" s="219">
        <f>IF(netavailableforsalary2&lt;lelniers,netavailableforsalary2,netavailableforsalary2)</f>
        <v>15000</v>
      </c>
      <c r="AA89" s="5"/>
      <c r="AB89" s="5"/>
      <c r="AD89" s="5"/>
    </row>
    <row r="90" spans="9:30" ht="12.75">
      <c r="I90" s="72"/>
      <c r="J90" s="219">
        <f>J95</f>
        <v>797.44</v>
      </c>
      <c r="K90" s="219">
        <f>K95</f>
        <v>797.44</v>
      </c>
      <c r="L90" s="221"/>
      <c r="S90" s="6">
        <f>S96</f>
        <v>797.44</v>
      </c>
      <c r="T90" s="6">
        <f>T96</f>
        <v>797.44</v>
      </c>
      <c r="AA90" s="5"/>
      <c r="AB90" s="5"/>
      <c r="AD90" s="5"/>
    </row>
    <row r="91" spans="2:30" ht="12.75">
      <c r="B91" t="s">
        <v>55</v>
      </c>
      <c r="F91" s="241">
        <f>IF(chooseyear=1,J95,K95)</f>
        <v>797.44</v>
      </c>
      <c r="I91" s="72"/>
      <c r="J91" s="226">
        <f>SUM(J89:J90)</f>
        <v>15000</v>
      </c>
      <c r="K91" s="226">
        <f>SUM(K89:K90)</f>
        <v>15000</v>
      </c>
      <c r="L91" s="221"/>
      <c r="S91" s="6">
        <f>S89-S90</f>
        <v>14202.56</v>
      </c>
      <c r="T91" s="6">
        <f>T89-T90</f>
        <v>14202.56</v>
      </c>
      <c r="AA91" s="5"/>
      <c r="AB91" s="5"/>
      <c r="AD91" s="5"/>
    </row>
    <row r="92" spans="2:30" ht="12.75">
      <c r="B92" t="s">
        <v>58</v>
      </c>
      <c r="F92" s="17">
        <f>SUM(F89:F91)</f>
        <v>15000</v>
      </c>
      <c r="I92" s="72"/>
      <c r="J92" s="219">
        <f>ROUND(IF(nicable1-lelniers&lt;0,0,(nicable1-lelniers)*ersnirate),2)</f>
        <v>797.44</v>
      </c>
      <c r="K92" s="219">
        <f>ROUND(IF(nicable1-lelniers&lt;0,0,(nicable1-lelniers)*ersnirate),2)</f>
        <v>797.44</v>
      </c>
      <c r="L92" s="221"/>
      <c r="M92" s="15" t="s">
        <v>235</v>
      </c>
      <c r="T92" s="5"/>
      <c r="AA92" s="5"/>
      <c r="AB92" s="5"/>
      <c r="AD92" s="5"/>
    </row>
    <row r="93" spans="9:30" ht="12.75">
      <c r="I93" s="266" t="s">
        <v>247</v>
      </c>
      <c r="J93" s="218">
        <f>IF(nicexemption=TRUE,MAX(-J92,-5000),0)</f>
        <v>0</v>
      </c>
      <c r="K93" s="218">
        <f>IF(nicexemption=TRUE,MAX(-K92,-5000),0)</f>
        <v>0</v>
      </c>
      <c r="L93" s="221"/>
      <c r="S93" s="6">
        <f>J92</f>
        <v>797.44</v>
      </c>
      <c r="T93" s="6">
        <f>K92</f>
        <v>797.44</v>
      </c>
      <c r="AA93" s="5"/>
      <c r="AB93" s="5"/>
      <c r="AD93" s="5"/>
    </row>
    <row r="94" spans="9:30" ht="12.75">
      <c r="I94" s="266" t="s">
        <v>320</v>
      </c>
      <c r="J94" s="218">
        <f>-S102</f>
        <v>0</v>
      </c>
      <c r="K94" s="218">
        <f>-T102</f>
        <v>0</v>
      </c>
      <c r="L94" s="221"/>
      <c r="R94" s="90" t="s">
        <v>321</v>
      </c>
      <c r="S94" s="6"/>
      <c r="T94" s="6"/>
      <c r="AA94" s="5"/>
      <c r="AB94" s="5"/>
      <c r="AD94" s="5"/>
    </row>
    <row r="95" spans="2:30" ht="12.75">
      <c r="B95" t="s">
        <v>5</v>
      </c>
      <c r="F95" s="6">
        <f>ROUND(nicable,2)</f>
        <v>14202.56</v>
      </c>
      <c r="I95" s="72"/>
      <c r="J95" s="226">
        <f>SUM(J92:J94)</f>
        <v>797.44</v>
      </c>
      <c r="K95" s="226">
        <f>SUM(K92:K94)</f>
        <v>797.44</v>
      </c>
      <c r="L95" s="221"/>
      <c r="O95" s="17"/>
      <c r="P95" s="17"/>
      <c r="S95" s="218">
        <f>IF(nicexemption=TRUE,MAX(-S93,-5000),0)</f>
        <v>0</v>
      </c>
      <c r="T95" s="218">
        <f>IF(nicexemption=TRUE,MAX(-T93,-5000),0)</f>
        <v>0</v>
      </c>
      <c r="AA95" s="5"/>
      <c r="AB95" s="5"/>
      <c r="AD95" s="5"/>
    </row>
    <row r="96" spans="9:30" ht="12.75">
      <c r="I96" s="72"/>
      <c r="J96" s="226">
        <f>J89+J95</f>
        <v>15000</v>
      </c>
      <c r="K96" s="226">
        <f>K89+K95</f>
        <v>15000</v>
      </c>
      <c r="L96" s="221"/>
      <c r="O96" s="17"/>
      <c r="P96" s="17"/>
      <c r="S96" s="6">
        <f>SUM(S93:S95)</f>
        <v>797.44</v>
      </c>
      <c r="T96" s="6">
        <f>SUM(T93:T95)</f>
        <v>797.44</v>
      </c>
      <c r="AA96" s="5"/>
      <c r="AB96" s="5"/>
      <c r="AD96" s="5"/>
    </row>
    <row r="97" spans="2:30" ht="12.75">
      <c r="B97" t="s">
        <v>6</v>
      </c>
      <c r="E97" s="6" t="s">
        <v>9</v>
      </c>
      <c r="F97" s="100">
        <f>pasal</f>
        <v>11850</v>
      </c>
      <c r="I97" s="72"/>
      <c r="J97" s="218"/>
      <c r="K97" s="218"/>
      <c r="L97" s="221"/>
      <c r="T97" s="5"/>
      <c r="AA97" s="5"/>
      <c r="AB97" s="5"/>
      <c r="AD97" s="5"/>
    </row>
    <row r="98" spans="2:30" ht="12.75">
      <c r="B98" t="s">
        <v>134</v>
      </c>
      <c r="F98" s="6">
        <f>retannuity</f>
        <v>0</v>
      </c>
      <c r="I98" s="267" t="s">
        <v>248</v>
      </c>
      <c r="J98" s="233"/>
      <c r="K98" s="233"/>
      <c r="L98" s="236"/>
      <c r="M98" t="s">
        <v>9</v>
      </c>
      <c r="Q98" s="90" t="s">
        <v>322</v>
      </c>
      <c r="S98">
        <f>ErsAllceinput/numberofparts</f>
        <v>0</v>
      </c>
      <c r="T98">
        <f>ErsAllceinput/numberofparts</f>
        <v>0</v>
      </c>
      <c r="AA98" s="5"/>
      <c r="AB98" s="5"/>
      <c r="AD98" s="5"/>
    </row>
    <row r="99" spans="2:30" ht="12.75">
      <c r="B99" t="s">
        <v>7</v>
      </c>
      <c r="F99" s="17">
        <f>ROUND(IF(nicable-pasal-retannuity&lt;0,0,nicable-pasal-retannuity),2)</f>
        <v>2352.56</v>
      </c>
      <c r="G99" s="30">
        <f>grossdirs-retannuity</f>
        <v>14202.56</v>
      </c>
      <c r="H99" s="117" t="s">
        <v>9</v>
      </c>
      <c r="T99" s="5"/>
      <c r="AA99" s="5"/>
      <c r="AB99" s="5"/>
      <c r="AD99" s="5"/>
    </row>
    <row r="100" spans="4:30" ht="12.75">
      <c r="D100" s="6" t="s">
        <v>11</v>
      </c>
      <c r="G100" s="30"/>
      <c r="S100" s="6">
        <f>J92</f>
        <v>797.44</v>
      </c>
      <c r="T100" s="5"/>
      <c r="AA100" s="5"/>
      <c r="AB100" s="5"/>
      <c r="AD100" s="5"/>
    </row>
    <row r="101" spans="2:30" ht="12.75">
      <c r="B101" s="4">
        <f>tenpercentrate</f>
        <v>0</v>
      </c>
      <c r="C101" t="s">
        <v>10</v>
      </c>
      <c r="D101" s="6">
        <v>0</v>
      </c>
      <c r="E101" s="6">
        <f>M102</f>
        <v>0</v>
      </c>
      <c r="G101" s="30"/>
      <c r="M101">
        <f>IF(chargeableItSalaryRoute&lt;0,0,chargeableItSalaryRoute)</f>
        <v>2352.56</v>
      </c>
      <c r="T101" s="5"/>
      <c r="AA101" s="5"/>
      <c r="AB101" s="5"/>
      <c r="AD101" s="5"/>
    </row>
    <row r="102" spans="7:30" ht="12.75">
      <c r="G102" s="30"/>
      <c r="M102" s="6">
        <f>IF(M101&gt;D101,D101*tenpercentrate,M101*tenpercentrate)</f>
        <v>0</v>
      </c>
      <c r="S102">
        <f>IF(S100&lt;S98,S100,S98)</f>
        <v>0</v>
      </c>
      <c r="T102" s="5"/>
      <c r="AA102" s="5"/>
      <c r="AB102" s="5"/>
      <c r="AD102" s="5"/>
    </row>
    <row r="103" spans="2:30" ht="12.75">
      <c r="B103" s="4">
        <f>basicrate</f>
        <v>0.2</v>
      </c>
      <c r="C103" t="s">
        <v>10</v>
      </c>
      <c r="D103" s="6">
        <f>basicrateband+pensioncont</f>
        <v>34500</v>
      </c>
      <c r="E103" s="6">
        <f>M105</f>
        <v>470.512</v>
      </c>
      <c r="G103" s="30"/>
      <c r="T103" s="5"/>
      <c r="AA103" s="5"/>
      <c r="AB103" s="5"/>
      <c r="AD103" s="5"/>
    </row>
    <row r="104" spans="7:30" ht="12.75">
      <c r="G104" s="30"/>
      <c r="I104" t="s">
        <v>140</v>
      </c>
      <c r="M104">
        <f>IF(chargeableItSalaryRoute-D101&lt;0,0,chargeableItSalaryRoute-D101)</f>
        <v>2352.56</v>
      </c>
      <c r="T104" s="5"/>
      <c r="AA104" s="5"/>
      <c r="AB104" s="5"/>
      <c r="AD104" s="5"/>
    </row>
    <row r="105" spans="2:30" ht="12.75">
      <c r="B105" s="4">
        <v>0.4</v>
      </c>
      <c r="C105" t="s">
        <v>10</v>
      </c>
      <c r="D105" s="6">
        <f>N110</f>
        <v>0</v>
      </c>
      <c r="E105" s="6">
        <f>N110*B105</f>
        <v>0</v>
      </c>
      <c r="F105" s="7">
        <f>SUM(E101:E106)</f>
        <v>470.512</v>
      </c>
      <c r="G105" s="30">
        <f>G99*choosehigherrate</f>
        <v>6391.152</v>
      </c>
      <c r="I105" s="6">
        <f>IF(hrateon=1,G105,F105)</f>
        <v>470.512</v>
      </c>
      <c r="M105" s="6">
        <f>IF((test22percentsalroute-D103)&gt;0,+D103*B103,test22percentsalroute*B103)</f>
        <v>470.512</v>
      </c>
      <c r="T105" s="5"/>
      <c r="AA105" s="5"/>
      <c r="AB105" s="5"/>
      <c r="AD105" s="5"/>
    </row>
    <row r="106" spans="2:30" ht="12.75">
      <c r="B106" s="239">
        <f>higherratepercentage2</f>
        <v>0.45</v>
      </c>
      <c r="C106" t="s">
        <v>10</v>
      </c>
      <c r="D106" s="191">
        <f>N111</f>
        <v>0</v>
      </c>
      <c r="E106" s="6">
        <f>D106*B106</f>
        <v>0</v>
      </c>
      <c r="M106" s="5" t="s">
        <v>9</v>
      </c>
      <c r="T106" s="5"/>
      <c r="AA106" s="5"/>
      <c r="AB106" s="5"/>
      <c r="AD106" s="5"/>
    </row>
    <row r="107" spans="4:30" ht="12.75">
      <c r="D107" s="17"/>
      <c r="M107" s="5"/>
      <c r="T107" s="5"/>
      <c r="AA107" s="5"/>
      <c r="AB107" s="5"/>
      <c r="AD107" s="5"/>
    </row>
    <row r="108" spans="4:30" ht="12.75">
      <c r="D108" s="17">
        <f>SUM(D103:D107)</f>
        <v>34500</v>
      </c>
      <c r="M108" s="5"/>
      <c r="N108" t="s">
        <v>221</v>
      </c>
      <c r="T108" s="5"/>
      <c r="AA108" s="5"/>
      <c r="AB108" s="5"/>
      <c r="AD108" s="5"/>
    </row>
    <row r="109" spans="2:30" ht="12.75">
      <c r="B109" t="s">
        <v>64</v>
      </c>
      <c r="C109" t="s">
        <v>12</v>
      </c>
      <c r="D109" s="6">
        <f>lelni</f>
        <v>8424</v>
      </c>
      <c r="M109" s="5">
        <f>IF(chargeableItSalaryRoute-$D$101-$D$103&gt;0,(chargeableItSalaryRoute-$D$101-$D$103)*$B$105,0)</f>
        <v>0</v>
      </c>
      <c r="N109" s="5">
        <f>(chargeableItSalaryRoute-$D$101-$D$103)</f>
        <v>-32147.44</v>
      </c>
      <c r="T109" s="5"/>
      <c r="AA109" s="5"/>
      <c r="AB109" s="5"/>
      <c r="AD109" s="5"/>
    </row>
    <row r="110" spans="3:30" ht="12.75">
      <c r="C110" t="s">
        <v>13</v>
      </c>
      <c r="D110" s="6">
        <f>uelni</f>
        <v>46350</v>
      </c>
      <c r="J110" s="192" t="s">
        <v>9</v>
      </c>
      <c r="K110" s="192" t="s">
        <v>9</v>
      </c>
      <c r="M110" s="5" t="s">
        <v>9</v>
      </c>
      <c r="N110">
        <f>IF(N109&lt;0,0,IF(N109&gt;(hrtaxband2-D103),(hrtaxband2-D103),chargeableItSalaryRoute-D103))</f>
        <v>0</v>
      </c>
      <c r="O110" s="4">
        <v>0.4</v>
      </c>
      <c r="T110" s="5"/>
      <c r="AA110" s="5"/>
      <c r="AB110" s="5"/>
      <c r="AD110" s="5"/>
    </row>
    <row r="111" spans="3:30" ht="12.75">
      <c r="C111" t="s">
        <v>15</v>
      </c>
      <c r="D111" s="6" t="s">
        <v>9</v>
      </c>
      <c r="F111" s="241">
        <f>IF(chooseyear=1,J111,K111)</f>
        <v>693.4271999999999</v>
      </c>
      <c r="J111" s="102">
        <f>IF(nicable-lelni&lt;0,0,IF(nicable&gt;uelni,(uelni-lelni)*eesrate1+(nicable-uelni)*NIAddlRate,(nicable-lelni)*eesrate1))</f>
        <v>693.4271999999999</v>
      </c>
      <c r="K111" s="102">
        <f>IF(nicable-lelni&lt;0,0,IF(nicable&gt;uelni,(uelni-lelni)*eesrate2+(nicable-uelni)*NIAddlRate,(nicable-lelni)*eesrate2))</f>
        <v>693.4271999999999</v>
      </c>
      <c r="M111" s="5" t="s">
        <v>9</v>
      </c>
      <c r="N111">
        <f>IF(N109-N110&gt;0,N109-N110,0)</f>
        <v>0</v>
      </c>
      <c r="O111" s="4">
        <v>0.45</v>
      </c>
      <c r="T111" s="5"/>
      <c r="AA111" s="5"/>
      <c r="AB111" s="5"/>
      <c r="AD111" s="5"/>
    </row>
    <row r="112" spans="13:30" ht="12.75">
      <c r="M112" t="s">
        <v>9</v>
      </c>
      <c r="T112" s="5"/>
      <c r="AA112" s="5"/>
      <c r="AB112" s="5"/>
      <c r="AD112" s="5"/>
    </row>
    <row r="113" spans="4:30" ht="12.75">
      <c r="D113" s="6" t="s">
        <v>9</v>
      </c>
      <c r="T113" s="5"/>
      <c r="AA113" s="5"/>
      <c r="AB113" s="5"/>
      <c r="AD113" s="5"/>
    </row>
    <row r="114" spans="20:30" ht="12.75">
      <c r="T114" s="5"/>
      <c r="AA114" s="5"/>
      <c r="AB114" s="5"/>
      <c r="AD114" s="5"/>
    </row>
    <row r="115" spans="2:30" ht="12.75">
      <c r="B115" s="15" t="s">
        <v>43</v>
      </c>
      <c r="T115" s="5"/>
      <c r="AA115" s="5"/>
      <c r="AB115" s="5"/>
      <c r="AD115" s="5"/>
    </row>
    <row r="116" spans="20:30" ht="12.75">
      <c r="T116" s="5"/>
      <c r="AA116" s="5"/>
      <c r="AB116" s="5"/>
      <c r="AD116" s="5"/>
    </row>
    <row r="117" spans="2:30" ht="12.75">
      <c r="B117" s="1" t="s">
        <v>102</v>
      </c>
      <c r="T117" s="5"/>
      <c r="AA117" s="5"/>
      <c r="AB117" s="5"/>
      <c r="AD117" s="5"/>
    </row>
    <row r="118" spans="10:30" ht="12.75">
      <c r="J118">
        <f>nicablemain</f>
        <v>8424</v>
      </c>
      <c r="K118">
        <f>nicablemain</f>
        <v>8424</v>
      </c>
      <c r="T118" s="5"/>
      <c r="AA118" s="5"/>
      <c r="AB118" s="5"/>
      <c r="AD118" s="5"/>
    </row>
    <row r="119" spans="2:30" ht="12.75">
      <c r="B119" t="s">
        <v>70</v>
      </c>
      <c r="E119" s="6" t="s">
        <v>9</v>
      </c>
      <c r="F119" s="7">
        <f>IF(ctaxprofit&lt;salcombined,ctaxprofit,salcombined)</f>
        <v>8424</v>
      </c>
      <c r="H119" s="117" t="s">
        <v>9</v>
      </c>
      <c r="J119" s="6">
        <f>J128</f>
        <v>0</v>
      </c>
      <c r="K119" s="6">
        <f>K128</f>
        <v>0</v>
      </c>
      <c r="M119" s="5" t="s">
        <v>9</v>
      </c>
      <c r="T119" s="5"/>
      <c r="AA119" s="5"/>
      <c r="AB119" s="5"/>
      <c r="AD119" s="5"/>
    </row>
    <row r="120" spans="13:30" ht="12.75">
      <c r="M120" s="5" t="s">
        <v>9</v>
      </c>
      <c r="T120" s="5"/>
      <c r="AA120" s="5"/>
      <c r="AB120" s="5"/>
      <c r="AD120" s="5"/>
    </row>
    <row r="121" spans="2:30" ht="12.75">
      <c r="B121" t="s">
        <v>33</v>
      </c>
      <c r="E121" s="6" t="s">
        <v>9</v>
      </c>
      <c r="F121" s="100">
        <f>lelniers</f>
        <v>8424</v>
      </c>
      <c r="M121" s="5" t="s">
        <v>9</v>
      </c>
      <c r="T121" s="5"/>
      <c r="AA121" s="5"/>
      <c r="AB121" s="5"/>
      <c r="AD121" s="5"/>
    </row>
    <row r="122" spans="6:30" ht="12.75">
      <c r="F122" s="6" t="s">
        <v>9</v>
      </c>
      <c r="T122" s="5"/>
      <c r="AA122" s="5"/>
      <c r="AB122" s="5"/>
      <c r="AD122" s="5"/>
    </row>
    <row r="123" spans="2:30" ht="12.75">
      <c r="B123" t="s">
        <v>54</v>
      </c>
      <c r="F123" s="6">
        <f>IF(nicablemain-lelniers&lt;0,0,nicablemain-lelniers)</f>
        <v>0</v>
      </c>
      <c r="T123" s="5"/>
      <c r="AA123" s="5"/>
      <c r="AB123" s="5"/>
      <c r="AD123" s="5"/>
    </row>
    <row r="124" spans="2:30" ht="12.75">
      <c r="B124" s="90" t="s">
        <v>249</v>
      </c>
      <c r="F124" s="6">
        <f>IF(chooseyear=1,-J126,-K126)</f>
        <v>0</v>
      </c>
      <c r="J124" s="17">
        <f>F119</f>
        <v>8424</v>
      </c>
      <c r="K124" s="17">
        <f>F119</f>
        <v>8424</v>
      </c>
      <c r="M124" t="s">
        <v>9</v>
      </c>
      <c r="Q124" s="90" t="s">
        <v>322</v>
      </c>
      <c r="S124">
        <f>ErsAllceinput/numberofparts</f>
        <v>0</v>
      </c>
      <c r="T124" s="5"/>
      <c r="AA124" s="5"/>
      <c r="AB124" s="5"/>
      <c r="AD124" s="5"/>
    </row>
    <row r="125" spans="2:30" ht="12.75">
      <c r="B125" t="s">
        <v>55</v>
      </c>
      <c r="F125" s="6">
        <f>J128</f>
        <v>0</v>
      </c>
      <c r="J125" s="6">
        <f>ROUND(IF(nicablemain-lelniers&lt;0,0,(nicablemain-lelniers)*ersnirate1),2)</f>
        <v>0</v>
      </c>
      <c r="K125" s="6">
        <f>ROUND(IF(nicablemain-lelniers&lt;0,0,(nicablemain-lelniers)*ersnirate2),2)</f>
        <v>0</v>
      </c>
      <c r="M125" t="s">
        <v>9</v>
      </c>
      <c r="N125" s="6"/>
      <c r="T125" s="5"/>
      <c r="AA125" s="5"/>
      <c r="AB125" s="5"/>
      <c r="AD125" s="5"/>
    </row>
    <row r="126" spans="6:30" ht="12.75">
      <c r="F126" s="17"/>
      <c r="J126" s="218">
        <f>IF(nicexemption=TRUE,MAX(-J125,-5000),0)</f>
        <v>0</v>
      </c>
      <c r="K126" s="218">
        <f>IF(nicexemption=TRUE,MAX(-K125,-5000),0)</f>
        <v>0</v>
      </c>
      <c r="S126" s="6">
        <f>J125</f>
        <v>0</v>
      </c>
      <c r="T126" s="5"/>
      <c r="AA126" s="5"/>
      <c r="AB126" s="5"/>
      <c r="AD126" s="5"/>
    </row>
    <row r="127" spans="6:30" ht="12.75">
      <c r="F127" s="17"/>
      <c r="J127" s="218">
        <f>-S129</f>
        <v>0</v>
      </c>
      <c r="K127" s="218">
        <f>-S129</f>
        <v>0</v>
      </c>
      <c r="S127" s="6"/>
      <c r="T127" s="5"/>
      <c r="AA127" s="5"/>
      <c r="AB127" s="5"/>
      <c r="AD127" s="5"/>
    </row>
    <row r="128" spans="10:30" ht="12.75">
      <c r="J128" s="6">
        <f>SUM(J125:J127)</f>
        <v>0</v>
      </c>
      <c r="K128" s="6">
        <f>SUM(K125:K127)</f>
        <v>0</v>
      </c>
      <c r="N128" s="6"/>
      <c r="T128" s="5"/>
      <c r="AA128" s="5"/>
      <c r="AB128" s="5"/>
      <c r="AD128" s="5"/>
    </row>
    <row r="129" spans="2:30" ht="12.75">
      <c r="B129" t="s">
        <v>5</v>
      </c>
      <c r="F129" s="7">
        <f>IF(ctaxprofit&lt;salcombined,ctaxprofit,salcombined)</f>
        <v>8424</v>
      </c>
      <c r="J129" s="6"/>
      <c r="S129">
        <f>IF(S126&lt;S124,S126,S124)</f>
        <v>0</v>
      </c>
      <c r="T129" s="5"/>
      <c r="AA129" s="5"/>
      <c r="AB129" s="5"/>
      <c r="AD129" s="5"/>
    </row>
    <row r="130" spans="10:30" ht="12.75">
      <c r="J130" s="6"/>
      <c r="T130" s="5"/>
      <c r="AA130" s="5"/>
      <c r="AB130" s="5"/>
      <c r="AD130" s="5"/>
    </row>
    <row r="131" spans="2:30" ht="12.75">
      <c r="B131" t="s">
        <v>6</v>
      </c>
      <c r="E131" s="6" t="s">
        <v>9</v>
      </c>
      <c r="F131" s="100">
        <f>saldivpa</f>
        <v>11850</v>
      </c>
      <c r="T131" s="5"/>
      <c r="AA131" s="5"/>
      <c r="AB131" s="5"/>
      <c r="AD131" s="5"/>
    </row>
    <row r="132" spans="2:30" ht="12.75">
      <c r="B132" t="s">
        <v>134</v>
      </c>
      <c r="F132" s="6">
        <f>retannuity</f>
        <v>0</v>
      </c>
      <c r="J132">
        <f>nicablemain</f>
        <v>8424</v>
      </c>
      <c r="K132" t="s">
        <v>131</v>
      </c>
      <c r="M132" t="s">
        <v>9</v>
      </c>
      <c r="T132" s="5"/>
      <c r="AA132" s="5"/>
      <c r="AB132" s="5"/>
      <c r="AD132" s="5"/>
    </row>
    <row r="133" spans="2:30" ht="12.75">
      <c r="B133" t="s">
        <v>7</v>
      </c>
      <c r="F133" s="6">
        <f>IF(salcombined-retannuity&lt;saldivpa,0,salcombined-saldivpa-retannuity)</f>
        <v>0</v>
      </c>
      <c r="G133" s="6">
        <f>F129-retannuity</f>
        <v>8424</v>
      </c>
      <c r="H133" s="117" t="s">
        <v>9</v>
      </c>
      <c r="J133">
        <f>saldivpa</f>
        <v>11850</v>
      </c>
      <c r="T133" s="5"/>
      <c r="AA133" s="5"/>
      <c r="AB133" s="5"/>
      <c r="AD133" s="5"/>
    </row>
    <row r="134" spans="4:30" ht="12.75">
      <c r="D134" s="6" t="s">
        <v>11</v>
      </c>
      <c r="J134">
        <f>retannuity</f>
        <v>0</v>
      </c>
      <c r="T134" s="5"/>
      <c r="AA134" s="5"/>
      <c r="AB134" s="5"/>
      <c r="AD134" s="5"/>
    </row>
    <row r="135" spans="2:30" ht="12.75">
      <c r="B135" s="4">
        <f>tenpercentrate</f>
        <v>0</v>
      </c>
      <c r="C135" t="s">
        <v>10</v>
      </c>
      <c r="J135">
        <f>+J132-J133-J134</f>
        <v>-3426</v>
      </c>
      <c r="M135">
        <f>IF(chargeabletotaxsalcombined&lt;=0,0,chargeabletotaxsalcombined)</f>
        <v>0</v>
      </c>
      <c r="T135" s="5"/>
      <c r="AA135" s="5"/>
      <c r="AB135" s="5"/>
      <c r="AD135" s="5"/>
    </row>
    <row r="136" spans="13:30" ht="12.75">
      <c r="M136">
        <f>IF(chargeabletotaxsalcombined&gt;D135,D135*10%,chargeabletotaxsalcombined*10%)</f>
        <v>0</v>
      </c>
      <c r="T136" s="5"/>
      <c r="AA136" s="5"/>
      <c r="AB136" s="5"/>
      <c r="AD136" s="5"/>
    </row>
    <row r="137" spans="1:30" ht="12.75">
      <c r="A137" s="6"/>
      <c r="B137" s="4">
        <f>basicrate</f>
        <v>0.2</v>
      </c>
      <c r="C137" t="s">
        <v>10</v>
      </c>
      <c r="D137" s="6">
        <f>basicrateband+pensioncont</f>
        <v>34500</v>
      </c>
      <c r="E137" s="6">
        <f>M139</f>
        <v>0</v>
      </c>
      <c r="T137" s="5"/>
      <c r="AA137" s="5"/>
      <c r="AB137" s="5"/>
      <c r="AD137" s="5"/>
    </row>
    <row r="138" spans="2:30" ht="12.75">
      <c r="B138" s="4">
        <v>0.4</v>
      </c>
      <c r="D138" s="6">
        <f>hrtaxband2-D137</f>
        <v>115500</v>
      </c>
      <c r="E138" s="6">
        <f>M141*B138</f>
        <v>0</v>
      </c>
      <c r="I138" t="s">
        <v>9</v>
      </c>
      <c r="M138">
        <f>IF(chargeabletotaxsalcombined-D135&lt;0,0,chargeabletotaxsalcombined-D135)</f>
        <v>0</v>
      </c>
      <c r="T138" s="5"/>
      <c r="AA138" s="5"/>
      <c r="AB138" s="5"/>
      <c r="AD138" s="5"/>
    </row>
    <row r="139" spans="2:30" ht="12.75">
      <c r="B139" s="239">
        <f>higherratepercentage2</f>
        <v>0.45</v>
      </c>
      <c r="C139" t="s">
        <v>10</v>
      </c>
      <c r="D139" s="6">
        <f>M143</f>
        <v>0</v>
      </c>
      <c r="E139" s="6">
        <f>M143*B139</f>
        <v>0</v>
      </c>
      <c r="F139" s="7">
        <f>SUM(E135:E139)</f>
        <v>0</v>
      </c>
      <c r="G139" s="6">
        <f>+G133*choosehigherrate</f>
        <v>3790.8</v>
      </c>
      <c r="I139" s="6" t="s">
        <v>9</v>
      </c>
      <c r="M139" s="5">
        <f>IF((test22percentcombined-D137)&gt;0,+D137*B137,test22percentcombined*B137)</f>
        <v>0</v>
      </c>
      <c r="N139" t="s">
        <v>223</v>
      </c>
      <c r="T139" s="5"/>
      <c r="AA139" s="5"/>
      <c r="AB139" s="5"/>
      <c r="AD139" s="5"/>
    </row>
    <row r="140" spans="4:30" ht="12.75">
      <c r="D140" s="17"/>
      <c r="M140" s="5" t="s">
        <v>9</v>
      </c>
      <c r="T140" s="5"/>
      <c r="AA140" s="5"/>
      <c r="AB140" s="5"/>
      <c r="AD140" s="5"/>
    </row>
    <row r="141" spans="2:30" ht="12.75">
      <c r="B141" t="s">
        <v>64</v>
      </c>
      <c r="C141" t="s">
        <v>12</v>
      </c>
      <c r="D141" s="100">
        <f>lelni</f>
        <v>8424</v>
      </c>
      <c r="M141" s="5">
        <f>IF(chargeabletotaxsalcombined&gt;hrtaxband2,(hrtaxband2-D135-D137),IF(chargeabletotaxsalcombined-D137&gt;0,chargeabletotaxsalcombined-D137,0))</f>
        <v>0</v>
      </c>
      <c r="N141" t="s">
        <v>222</v>
      </c>
      <c r="T141" s="5"/>
      <c r="AA141" s="5"/>
      <c r="AB141" s="5"/>
      <c r="AD141" s="5"/>
    </row>
    <row r="142" spans="3:30" ht="12.75">
      <c r="C142" t="s">
        <v>13</v>
      </c>
      <c r="D142" s="6">
        <f>uelni</f>
        <v>46350</v>
      </c>
      <c r="J142" s="192" t="s">
        <v>9</v>
      </c>
      <c r="K142" s="192" t="s">
        <v>9</v>
      </c>
      <c r="M142" s="5" t="s">
        <v>9</v>
      </c>
      <c r="T142" s="5"/>
      <c r="AA142" s="5"/>
      <c r="AB142" s="5"/>
      <c r="AD142" s="5"/>
    </row>
    <row r="143" spans="3:30" ht="12.75">
      <c r="C143" t="s">
        <v>15</v>
      </c>
      <c r="D143" s="14"/>
      <c r="F143" s="241">
        <f>IF(chooseyear=1,J143,K143)</f>
        <v>0</v>
      </c>
      <c r="J143" s="102">
        <f>IF(nicablemain-lelni&lt;0,0,IF(nicablemain&gt;uelni,(uelni-lelni)*eesrate1+(nicablemain-uelni)*NIAddlRate,(nicablemain-lelni)*eesrate1))</f>
        <v>0</v>
      </c>
      <c r="K143" s="102">
        <f>IF(nicablemain-lelni&lt;0,0,IF(nicablemain&gt;uelni,(uelni-lelni)*eesrate2+(nicablemain-uelni)*NIAddlRate,(nicablemain-lelni)*eesrate2))</f>
        <v>0</v>
      </c>
      <c r="M143" s="5">
        <f>IF(chargeabletotaxsalcombined&gt;hrtaxband2,chargeabletotaxsalcombined-D135-D137-D138,0)</f>
        <v>0</v>
      </c>
      <c r="T143" s="5"/>
      <c r="AA143" s="5"/>
      <c r="AB143" s="5"/>
      <c r="AD143" s="5"/>
    </row>
    <row r="144" spans="13:30" ht="12.75">
      <c r="M144" t="s">
        <v>9</v>
      </c>
      <c r="T144" s="5"/>
      <c r="AA144" s="5"/>
      <c r="AB144" s="5"/>
      <c r="AD144" s="5"/>
    </row>
    <row r="145" spans="4:30" ht="12.75">
      <c r="D145" s="6">
        <f>D142-D141</f>
        <v>37926</v>
      </c>
      <c r="J145" s="102"/>
      <c r="T145" s="5"/>
      <c r="AA145" s="5"/>
      <c r="AB145" s="5"/>
      <c r="AD145" s="5"/>
    </row>
    <row r="146" spans="20:30" ht="12.75">
      <c r="T146" s="5"/>
      <c r="AA146" s="5"/>
      <c r="AB146" s="5"/>
      <c r="AD146" s="5"/>
    </row>
    <row r="147" spans="20:30" ht="12.75">
      <c r="T147" s="5"/>
      <c r="AA147" s="5"/>
      <c r="AB147" s="5"/>
      <c r="AD147" s="5"/>
    </row>
    <row r="148" spans="2:30" ht="12.75">
      <c r="B148" s="1" t="s">
        <v>71</v>
      </c>
      <c r="F148" s="17">
        <f>liabletoctcombined</f>
        <v>6576</v>
      </c>
      <c r="T148" s="5"/>
      <c r="AA148" s="5"/>
      <c r="AB148" s="5"/>
      <c r="AD148" s="5"/>
    </row>
    <row r="149" spans="6:30" ht="12.75">
      <c r="F149" s="7">
        <f>numberofparts</f>
        <v>1</v>
      </c>
      <c r="T149" s="5"/>
      <c r="AA149" s="5"/>
      <c r="AB149" s="5"/>
      <c r="AD149" s="5"/>
    </row>
    <row r="150" spans="2:30" ht="12.75">
      <c r="B150" t="s">
        <v>20</v>
      </c>
      <c r="F150" s="7">
        <f>chargeabletoctcombined*numberofparts</f>
        <v>6576</v>
      </c>
      <c r="T150" s="5"/>
      <c r="AA150" s="5"/>
      <c r="AB150" s="5"/>
      <c r="AD150" s="5"/>
    </row>
    <row r="151" spans="2:30" ht="12.75">
      <c r="B151" t="s">
        <v>72</v>
      </c>
      <c r="F151" s="6">
        <f>retainedprofitinco</f>
        <v>0</v>
      </c>
      <c r="T151" s="5"/>
      <c r="AA151" s="5"/>
      <c r="AB151" s="5"/>
      <c r="AD151" s="5"/>
    </row>
    <row r="152" spans="20:30" ht="12.75">
      <c r="T152" s="5"/>
      <c r="AA152" s="5"/>
      <c r="AB152" s="5"/>
      <c r="AD152" s="5"/>
    </row>
    <row r="153" spans="2:30" ht="12.75">
      <c r="B153" t="s">
        <v>12</v>
      </c>
      <c r="F153" s="6">
        <f>lowerctband</f>
        <v>0</v>
      </c>
      <c r="J153" s="6"/>
      <c r="S153" s="14"/>
      <c r="T153" s="5"/>
      <c r="AA153" s="5"/>
      <c r="AB153" s="5"/>
      <c r="AD153" s="5"/>
    </row>
    <row r="154" spans="19:30" ht="12.75">
      <c r="S154" s="14"/>
      <c r="T154" s="5"/>
      <c r="U154" t="s">
        <v>124</v>
      </c>
      <c r="AA154" s="5"/>
      <c r="AB154" s="5"/>
      <c r="AD154" s="5"/>
    </row>
    <row r="155" spans="6:30" ht="12.75">
      <c r="F155" s="6">
        <f>+F150-F153</f>
        <v>6576</v>
      </c>
      <c r="I155" t="s">
        <v>9</v>
      </c>
      <c r="P155" s="6">
        <f>J157</f>
        <v>6576</v>
      </c>
      <c r="Q155">
        <f>ctbandlower/asscos</f>
        <v>300000</v>
      </c>
      <c r="R155">
        <f>IF(P155&gt;Q155,P155,0)</f>
        <v>0</v>
      </c>
      <c r="S155" s="14">
        <f>ctaxmainrate</f>
        <v>0.19</v>
      </c>
      <c r="T155" s="6">
        <f>+R155*S155</f>
        <v>0</v>
      </c>
      <c r="U155" s="157">
        <f>V161</f>
        <v>0</v>
      </c>
      <c r="V155" s="5">
        <f>1500000/asscos-R155</f>
        <v>1500000</v>
      </c>
      <c r="W155" s="6">
        <f>IF(+V155*U155&gt;0,+V155*U155,0)</f>
        <v>0</v>
      </c>
      <c r="X155" s="6">
        <f>IF(T155-W155&lt;0,0,T155-W155)</f>
        <v>0</v>
      </c>
      <c r="AA155" s="5"/>
      <c r="AB155" s="5"/>
      <c r="AD155" s="5"/>
    </row>
    <row r="156" spans="9:30" ht="12.75">
      <c r="I156" t="s">
        <v>9</v>
      </c>
      <c r="J156" s="49" t="s">
        <v>227</v>
      </c>
      <c r="K156" s="49" t="s">
        <v>228</v>
      </c>
      <c r="P156" s="6">
        <f>J157</f>
        <v>6576</v>
      </c>
      <c r="Q156">
        <f>lowermarginalband/asscos</f>
        <v>50000</v>
      </c>
      <c r="R156">
        <f>IF(P156&gt;Q156,P156,0)</f>
        <v>0</v>
      </c>
      <c r="S156" s="14">
        <f>marginallower</f>
        <v>0.19</v>
      </c>
      <c r="T156" s="6">
        <f>+R156*S156</f>
        <v>0</v>
      </c>
      <c r="U156" s="157">
        <f>V161</f>
        <v>0</v>
      </c>
      <c r="V156">
        <f>IF(50000/asscos-R156&gt;P156,(50000/asscos-R156),0)</f>
        <v>50000</v>
      </c>
      <c r="W156" s="6">
        <f>IF((+V156*U156)&gt;0,(+V156*U156),0)</f>
        <v>0</v>
      </c>
      <c r="X156" s="6">
        <f>IF(X155&gt;0,0,IF(T156-W156&lt;0,0,T156-W156))</f>
        <v>0</v>
      </c>
      <c r="AA156" s="5"/>
      <c r="AB156" s="5"/>
      <c r="AD156" s="5"/>
    </row>
    <row r="157" spans="2:30" ht="12.75">
      <c r="B157" t="s">
        <v>17</v>
      </c>
      <c r="F157" s="6">
        <f>IF(chooseyear=1,X158,X158)</f>
        <v>1249.44</v>
      </c>
      <c r="J157" s="6">
        <f>overallassessabletoctcombined</f>
        <v>6576</v>
      </c>
      <c r="K157" s="6">
        <f>overallassessabletoctcombined</f>
        <v>6576</v>
      </c>
      <c r="P157" s="6">
        <f>J157</f>
        <v>6576</v>
      </c>
      <c r="Q157">
        <f>lowermarginalband/asscos</f>
        <v>50000</v>
      </c>
      <c r="R157">
        <f>IF(P157&lt;=Q157,P157,0)</f>
        <v>6576</v>
      </c>
      <c r="S157" s="14">
        <f>marginallower</f>
        <v>0.19</v>
      </c>
      <c r="T157" s="6">
        <f>R157*S157</f>
        <v>1249.44</v>
      </c>
      <c r="U157" s="157">
        <v>0</v>
      </c>
      <c r="V157">
        <f>(50000/asscos-R157)</f>
        <v>43424</v>
      </c>
      <c r="W157" s="6">
        <f>IF((+V157*U157)&gt;0,+V157*U157,0)</f>
        <v>0</v>
      </c>
      <c r="X157" s="6">
        <f>IF(T157-W157&lt;0,0,T157-W157)</f>
        <v>1249.44</v>
      </c>
      <c r="AA157" s="5"/>
      <c r="AB157" s="5"/>
      <c r="AD157" s="5"/>
    </row>
    <row r="158" spans="2:30" ht="12.75">
      <c r="B158" t="s">
        <v>44</v>
      </c>
      <c r="F158" s="6">
        <f>ROUND(+F157/numberofparts,2)</f>
        <v>1249.44</v>
      </c>
      <c r="J158" s="6"/>
      <c r="K158" s="6"/>
      <c r="S158" s="14"/>
      <c r="T158" s="5"/>
      <c r="X158" s="17">
        <f>SUM(X155:X157)</f>
        <v>1249.44</v>
      </c>
      <c r="AA158" s="5"/>
      <c r="AB158" s="5"/>
      <c r="AD158" s="5"/>
    </row>
    <row r="159" spans="2:30" ht="12.75">
      <c r="B159" s="90" t="s">
        <v>9</v>
      </c>
      <c r="F159" s="191" t="s">
        <v>9</v>
      </c>
      <c r="J159" s="6"/>
      <c r="K159" s="6"/>
      <c r="S159" s="237"/>
      <c r="AA159" s="5"/>
      <c r="AB159" s="5"/>
      <c r="AD159" s="5"/>
    </row>
    <row r="160" spans="2:30" ht="12.75">
      <c r="B160" t="s">
        <v>45</v>
      </c>
      <c r="E160" s="6" t="s">
        <v>9</v>
      </c>
      <c r="F160" s="7">
        <f>F164</f>
        <v>5326.56</v>
      </c>
      <c r="J160" s="191" t="s">
        <v>9</v>
      </c>
      <c r="K160" s="191" t="s">
        <v>9</v>
      </c>
      <c r="S160" s="114"/>
      <c r="AA160" s="5"/>
      <c r="AB160" s="5"/>
      <c r="AD160" s="5"/>
    </row>
    <row r="161" spans="19:30" ht="12.75">
      <c r="S161" s="114"/>
      <c r="U161" s="157">
        <f>marginalfraction</f>
        <v>0</v>
      </c>
      <c r="V161" s="157">
        <f>IF(chooseyear=1,U161,IF(chooseyear=2,U162,))</f>
        <v>0</v>
      </c>
      <c r="AA161" s="5"/>
      <c r="AB161" s="5"/>
      <c r="AD161" s="5"/>
    </row>
    <row r="162" spans="19:30" ht="12.75">
      <c r="S162" s="114"/>
      <c r="U162" s="157">
        <f>marginalfraction</f>
        <v>0</v>
      </c>
      <c r="V162" s="157"/>
      <c r="AA162" s="5"/>
      <c r="AB162" s="5"/>
      <c r="AD162" s="5"/>
    </row>
    <row r="163" spans="2:30" ht="12.75">
      <c r="B163" s="1" t="s">
        <v>73</v>
      </c>
      <c r="F163" s="6" t="s">
        <v>9</v>
      </c>
      <c r="T163" s="5"/>
      <c r="U163" s="157"/>
      <c r="V163" s="157"/>
      <c r="AA163" s="5"/>
      <c r="AB163" s="5"/>
      <c r="AD163" s="5"/>
    </row>
    <row r="164" spans="2:30" ht="12.75">
      <c r="B164" t="s">
        <v>74</v>
      </c>
      <c r="F164" s="6">
        <f>ROUND(divpayablecombined,2)</f>
        <v>5326.56</v>
      </c>
      <c r="G164" s="6" t="s">
        <v>9</v>
      </c>
      <c r="H164" s="117">
        <f>F164</f>
        <v>5326.56</v>
      </c>
      <c r="T164" s="5"/>
      <c r="AD164" s="5"/>
    </row>
    <row r="165" spans="2:30" ht="12.75">
      <c r="B165" t="s">
        <v>75</v>
      </c>
      <c r="E165" s="6">
        <f>SUM(F164:F165)</f>
        <v>5326.56</v>
      </c>
      <c r="F165" s="6">
        <f>divpayablecombined*divtax</f>
        <v>0</v>
      </c>
      <c r="G165" s="6" t="s">
        <v>9</v>
      </c>
      <c r="H165" s="117">
        <f>F165</f>
        <v>0</v>
      </c>
      <c r="T165" s="5"/>
      <c r="AD165" s="5"/>
    </row>
    <row r="166" spans="2:30" ht="12.75">
      <c r="B166" t="s">
        <v>84</v>
      </c>
      <c r="F166" s="6">
        <f>J135</f>
        <v>-3426</v>
      </c>
      <c r="G166" s="6" t="s">
        <v>9</v>
      </c>
      <c r="H166" s="117">
        <f>G133</f>
        <v>8424</v>
      </c>
      <c r="L166">
        <f>nicablemain</f>
        <v>8424</v>
      </c>
      <c r="M166">
        <f>IF(F166&lt;0,0,+J135)</f>
        <v>0</v>
      </c>
      <c r="N166" t="s">
        <v>9</v>
      </c>
      <c r="T166" s="5"/>
      <c r="AD166" s="5"/>
    </row>
    <row r="167" spans="6:30" ht="12.75">
      <c r="F167" s="17">
        <f>ROUND(SUM(F163:F166),2)</f>
        <v>1900.56</v>
      </c>
      <c r="G167" s="17" t="s">
        <v>9</v>
      </c>
      <c r="H167" s="118">
        <f>SUM(H164:H166)</f>
        <v>13750.560000000001</v>
      </c>
      <c r="L167">
        <f>IF(nicablemain&lt;lelni,lelni-nicablemain,0)</f>
        <v>0</v>
      </c>
      <c r="M167" t="s">
        <v>9</v>
      </c>
      <c r="N167" t="s">
        <v>9</v>
      </c>
      <c r="T167" s="5"/>
      <c r="AD167" s="5"/>
    </row>
    <row r="168" spans="2:30" ht="12.75">
      <c r="B168" s="90"/>
      <c r="T168" s="5"/>
      <c r="AD168" s="5"/>
    </row>
    <row r="169" spans="2:30" ht="12.75">
      <c r="B169" s="90"/>
      <c r="F169" s="260">
        <f>IF(SUM(F167:F168)&lt;0,0,SUM(F167:F168))</f>
        <v>1900.56</v>
      </c>
      <c r="T169" s="5"/>
      <c r="AD169" s="5"/>
    </row>
    <row r="170" spans="2:30" ht="12.75">
      <c r="B170" t="s">
        <v>352</v>
      </c>
      <c r="E170" s="6">
        <v>0</v>
      </c>
      <c r="F170" s="6">
        <f>+E170*0</f>
        <v>0</v>
      </c>
      <c r="H170" s="117" t="str">
        <f>N166</f>
        <v> </v>
      </c>
      <c r="J170" s="6"/>
      <c r="M170">
        <f>IF(chargeabletotaxsalcombined-D166&lt;0,0,chargeabletotaxsalcombined-D166)</f>
        <v>0</v>
      </c>
      <c r="N170" t="s">
        <v>9</v>
      </c>
      <c r="T170" s="5"/>
      <c r="AD170" s="5"/>
    </row>
    <row r="171" spans="20:30" ht="12.75">
      <c r="T171" s="5"/>
      <c r="AD171" s="5"/>
    </row>
    <row r="172" spans="2:30" ht="12.75">
      <c r="B172" t="s">
        <v>199</v>
      </c>
      <c r="E172" s="6">
        <f>IF((F166-E170)&lt;0,0,IF(F166-E170&gt;basicrateband+pensioncont,basicrateband+pensioncont,(F166-E170)))</f>
        <v>0</v>
      </c>
      <c r="F172" s="6">
        <f>E137</f>
        <v>0</v>
      </c>
      <c r="K172" t="s">
        <v>9</v>
      </c>
      <c r="M172" s="5" t="s">
        <v>9</v>
      </c>
      <c r="R172" s="6"/>
      <c r="T172" s="5"/>
      <c r="AD172" s="5"/>
    </row>
    <row r="173" spans="2:30" ht="12.75">
      <c r="B173" t="s">
        <v>78</v>
      </c>
      <c r="D173" s="106">
        <f>higherratepercentage</f>
        <v>0.4</v>
      </c>
      <c r="E173" s="6">
        <f>IF(F166-E172-E170&gt;hrtaxband2-E172,hrtaxband2-E170-E172,IF(F166-E172-E170&lt;0,0,F166-E170-E172))</f>
        <v>0</v>
      </c>
      <c r="F173" s="6">
        <f>E173*D173</f>
        <v>0</v>
      </c>
      <c r="G173" t="s">
        <v>9</v>
      </c>
      <c r="H173" s="117">
        <f>H166*choosehigherrate</f>
        <v>3790.8</v>
      </c>
      <c r="K173" t="s">
        <v>9</v>
      </c>
      <c r="M173" s="5" t="s">
        <v>9</v>
      </c>
      <c r="R173" s="6"/>
      <c r="T173" s="5"/>
      <c r="AD173" s="5"/>
    </row>
    <row r="174" spans="2:30" ht="12.75">
      <c r="B174" s="90" t="s">
        <v>232</v>
      </c>
      <c r="D174" s="239">
        <f>higherratepercentage2</f>
        <v>0.45</v>
      </c>
      <c r="E174" s="6">
        <f>IF(F166&gt;hrtaxband2,F166-hrtaxband2,0)</f>
        <v>0</v>
      </c>
      <c r="F174" s="6">
        <f>E174*D174</f>
        <v>0</v>
      </c>
      <c r="L174" s="202">
        <f>IF((test22percent1-$D$12)&gt;0,+$D$12,test22percent1)</f>
        <v>3150</v>
      </c>
      <c r="M174" s="5" t="s">
        <v>9</v>
      </c>
      <c r="O174" s="6">
        <f>D12+D13</f>
        <v>150000</v>
      </c>
      <c r="P174" s="6"/>
      <c r="Q174" s="6"/>
      <c r="R174" s="6"/>
      <c r="T174" s="5"/>
      <c r="AD174" s="5"/>
    </row>
    <row r="175" spans="2:30" ht="12.75">
      <c r="B175" s="90" t="s">
        <v>353</v>
      </c>
      <c r="D175" s="239">
        <v>0</v>
      </c>
      <c r="E175" s="6">
        <f>O176</f>
        <v>2000</v>
      </c>
      <c r="F175" s="6">
        <f>D175*E175</f>
        <v>0</v>
      </c>
      <c r="J175" s="292" t="s">
        <v>363</v>
      </c>
      <c r="K175" s="293"/>
      <c r="L175" s="306">
        <f>IF(F169-F164&lt;0,0,F169-F164)</f>
        <v>0</v>
      </c>
      <c r="M175" s="294" t="s">
        <v>364</v>
      </c>
      <c r="N175" s="293"/>
      <c r="O175" s="306">
        <f>IF(TaxableFromSalaryCombined&lt;0,F169,F169-TaxableFromSalaryCombined)</f>
        <v>1900.56</v>
      </c>
      <c r="P175" s="295"/>
      <c r="Q175" s="90"/>
      <c r="R175" s="6"/>
      <c r="S175" s="90"/>
      <c r="T175" s="5"/>
      <c r="AD175" s="5"/>
    </row>
    <row r="176" spans="1:30" ht="12.75">
      <c r="A176" s="6"/>
      <c r="B176" t="s">
        <v>351</v>
      </c>
      <c r="E176" s="6">
        <f>O178</f>
        <v>0</v>
      </c>
      <c r="F176" s="6">
        <f>+E176*dividendrate</f>
        <v>0</v>
      </c>
      <c r="J176" s="296" t="s">
        <v>365</v>
      </c>
      <c r="K176" s="297"/>
      <c r="L176" s="299"/>
      <c r="M176" s="298"/>
      <c r="N176" s="299"/>
      <c r="O176" s="299">
        <f>IF(L178&gt;=0,divtaxfree,0)</f>
        <v>2000</v>
      </c>
      <c r="P176" s="300"/>
      <c r="R176" s="6"/>
      <c r="S176" s="6"/>
      <c r="T176" s="6"/>
      <c r="AD176" s="5"/>
    </row>
    <row r="177" spans="2:30" ht="12.75">
      <c r="B177" t="s">
        <v>80</v>
      </c>
      <c r="D177" s="14">
        <f>NewDivRate1</f>
        <v>0.325</v>
      </c>
      <c r="E177" s="6">
        <f>P179</f>
        <v>0</v>
      </c>
      <c r="F177" s="6">
        <f>E177*D177</f>
        <v>0</v>
      </c>
      <c r="J177" s="301"/>
      <c r="K177" s="299"/>
      <c r="L177" s="297"/>
      <c r="M177" s="299"/>
      <c r="N177" s="299"/>
      <c r="O177" s="299">
        <f>IF(O175-O176&gt;0,O175-O176,0)</f>
        <v>0</v>
      </c>
      <c r="P177" s="300"/>
      <c r="R177" s="6"/>
      <c r="T177" s="191"/>
      <c r="AD177" s="5"/>
    </row>
    <row r="178" spans="2:20" ht="12.75">
      <c r="B178" s="90" t="s">
        <v>233</v>
      </c>
      <c r="D178" s="240">
        <f>NewDivRate2</f>
        <v>0.381</v>
      </c>
      <c r="E178" s="6">
        <f>P180</f>
        <v>0</v>
      </c>
      <c r="F178" s="6">
        <f>E178*D178</f>
        <v>0</v>
      </c>
      <c r="H178" s="117">
        <f>(E178+E177+E176)*HRateDivPercent</f>
        <v>0</v>
      </c>
      <c r="J178" s="296" t="s">
        <v>365</v>
      </c>
      <c r="K178" s="297"/>
      <c r="L178" s="299">
        <f>IF(L174-L175&gt;0,L174-L175,0)</f>
        <v>3150</v>
      </c>
      <c r="M178" s="298"/>
      <c r="N178" s="307"/>
      <c r="O178" s="299">
        <f>IF(L178-O176&lt;0,0,MIN(O177,L178-O176))</f>
        <v>0</v>
      </c>
      <c r="P178" s="300"/>
      <c r="Q178" s="6"/>
      <c r="S178" s="6"/>
      <c r="T178" s="6"/>
    </row>
    <row r="179" spans="5:20" ht="12.75">
      <c r="E179" s="290">
        <f>SUM(E170:E178)</f>
        <v>2000</v>
      </c>
      <c r="F179" s="17">
        <f>SUM(F170:F178)</f>
        <v>0</v>
      </c>
      <c r="H179" s="118">
        <f>SUM(H172:H178)</f>
        <v>3790.8</v>
      </c>
      <c r="J179" s="296"/>
      <c r="K179" s="297"/>
      <c r="L179" s="297"/>
      <c r="M179" s="299"/>
      <c r="N179" s="297" t="s">
        <v>9</v>
      </c>
      <c r="O179" s="299">
        <f>IF(O177-O178&lt;0,0,O177-O178)</f>
        <v>0</v>
      </c>
      <c r="P179" s="300">
        <f>O179-P180</f>
        <v>0</v>
      </c>
      <c r="Q179" s="6"/>
      <c r="R179" s="191"/>
      <c r="S179" s="6"/>
      <c r="T179" s="6"/>
    </row>
    <row r="180" spans="2:20" ht="12.75">
      <c r="B180" t="s">
        <v>81</v>
      </c>
      <c r="H180" s="117">
        <f>H165</f>
        <v>0</v>
      </c>
      <c r="J180" s="302"/>
      <c r="K180" s="303"/>
      <c r="L180" s="304"/>
      <c r="M180" s="305"/>
      <c r="N180" s="303"/>
      <c r="O180" s="303"/>
      <c r="P180" s="308">
        <f>IF(L175&gt;O174,O179,IF(O175+L175-O174&lt;0,0,O175+L175-O174))</f>
        <v>0</v>
      </c>
      <c r="S180" s="191"/>
      <c r="T180" s="6"/>
    </row>
    <row r="181" spans="2:22" ht="12.75">
      <c r="B181" t="s">
        <v>82</v>
      </c>
      <c r="F181" s="17">
        <f>IF(+F179-F180&gt;0,(+F179-F180),0)</f>
        <v>0</v>
      </c>
      <c r="H181" s="118">
        <f>IF(+H179-H180&gt;0,(+H179-H180),0)</f>
        <v>3790.8</v>
      </c>
      <c r="M181" s="6" t="s">
        <v>9</v>
      </c>
      <c r="R181" s="90"/>
      <c r="S181" s="6"/>
      <c r="T181" s="6"/>
      <c r="U181" s="197"/>
      <c r="V181" s="5"/>
    </row>
    <row r="182" spans="2:22" ht="12.75">
      <c r="B182" t="s">
        <v>85</v>
      </c>
      <c r="F182" s="6">
        <f>taxonsalcombined</f>
        <v>0</v>
      </c>
      <c r="G182" s="6" t="s">
        <v>9</v>
      </c>
      <c r="H182" s="117">
        <f>taxonsalcombined2</f>
        <v>3790.8</v>
      </c>
      <c r="I182" t="s">
        <v>140</v>
      </c>
      <c r="L182">
        <f>SUM(L179:L181)</f>
        <v>0</v>
      </c>
      <c r="M182" t="s">
        <v>9</v>
      </c>
      <c r="S182" s="191"/>
      <c r="T182" s="5"/>
      <c r="U182" s="5"/>
      <c r="V182" s="5"/>
    </row>
    <row r="183" spans="2:22" ht="12.75">
      <c r="B183" t="s">
        <v>86</v>
      </c>
      <c r="F183" s="6">
        <f>IF(F181&gt;F182,F181,F182)</f>
        <v>0</v>
      </c>
      <c r="H183" s="117">
        <f>IF(H181&gt;0,H181,H182)</f>
        <v>3790.8</v>
      </c>
      <c r="I183" s="6">
        <f>IF(hrateon=1,H183,F183)</f>
        <v>0</v>
      </c>
      <c r="M183" s="6" t="s">
        <v>9</v>
      </c>
      <c r="R183" s="90"/>
      <c r="S183" s="6"/>
      <c r="T183" s="5"/>
      <c r="U183" s="5"/>
      <c r="V183" s="5"/>
    </row>
    <row r="184" spans="20:22" ht="12.75">
      <c r="T184" s="5"/>
      <c r="U184" s="5"/>
      <c r="V184" s="5"/>
    </row>
    <row r="185" spans="1:24" s="258" customFormat="1" ht="12.75">
      <c r="A185" s="256" t="s">
        <v>243</v>
      </c>
      <c r="B185" s="256"/>
      <c r="C185" s="256"/>
      <c r="D185" s="257"/>
      <c r="E185" s="257"/>
      <c r="F185" s="257"/>
      <c r="G185" s="256"/>
      <c r="H185" s="257"/>
      <c r="T185" s="259"/>
      <c r="U185" s="259"/>
      <c r="V185" s="259"/>
      <c r="W185" s="260"/>
      <c r="X185" s="260"/>
    </row>
    <row r="186" spans="1:22" ht="12.75" hidden="1">
      <c r="A186" s="1" t="s">
        <v>226</v>
      </c>
      <c r="B186" s="1"/>
      <c r="C186" s="1"/>
      <c r="D186" s="17"/>
      <c r="T186" s="5"/>
      <c r="U186" s="5"/>
      <c r="V186" s="5"/>
    </row>
    <row r="187" spans="1:22" ht="12.75" hidden="1">
      <c r="A187" s="211"/>
      <c r="B187" s="212"/>
      <c r="C187" s="212"/>
      <c r="D187" s="213"/>
      <c r="E187" s="213"/>
      <c r="F187" s="213"/>
      <c r="G187" s="212"/>
      <c r="H187" s="214"/>
      <c r="I187" s="212"/>
      <c r="J187" s="212"/>
      <c r="K187" s="212"/>
      <c r="L187" s="215"/>
      <c r="M187" s="215"/>
      <c r="N187" s="216"/>
      <c r="T187" s="5"/>
      <c r="U187" s="5"/>
      <c r="V187" s="5"/>
    </row>
    <row r="188" spans="1:22" ht="12.75" hidden="1">
      <c r="A188" s="72"/>
      <c r="B188" s="217" t="s">
        <v>103</v>
      </c>
      <c r="C188" s="218"/>
      <c r="D188" s="219"/>
      <c r="E188" s="219"/>
      <c r="F188" s="219"/>
      <c r="G188" s="218"/>
      <c r="H188" s="220"/>
      <c r="I188" s="218"/>
      <c r="J188" s="218"/>
      <c r="K188" s="218"/>
      <c r="L188" s="218"/>
      <c r="M188" s="218"/>
      <c r="N188" s="221"/>
      <c r="T188" s="5"/>
      <c r="U188" s="5"/>
      <c r="V188" s="5"/>
    </row>
    <row r="189" spans="1:22" ht="12.75" hidden="1">
      <c r="A189" s="72"/>
      <c r="B189" s="218"/>
      <c r="C189" s="218"/>
      <c r="D189" s="219"/>
      <c r="E189" s="219"/>
      <c r="F189" s="219"/>
      <c r="G189" s="218"/>
      <c r="H189" s="220"/>
      <c r="I189" s="218"/>
      <c r="J189" s="218"/>
      <c r="K189" s="219" t="e">
        <f>IF(salscenario2&lt;lelni,salscenario2,((salscenario2*oneoverersnirate2)+lelni)/(1+oneoverersnirate2))</f>
        <v>#REF!</v>
      </c>
      <c r="L189" s="218" t="s">
        <v>138</v>
      </c>
      <c r="M189" s="218"/>
      <c r="N189" s="221"/>
      <c r="T189" s="5"/>
      <c r="U189" s="5"/>
      <c r="V189" s="5"/>
    </row>
    <row r="190" spans="1:22" ht="12.75" hidden="1">
      <c r="A190" s="72"/>
      <c r="B190" s="218" t="s">
        <v>70</v>
      </c>
      <c r="C190" s="218"/>
      <c r="D190" s="219"/>
      <c r="E190" s="219" t="s">
        <v>9</v>
      </c>
      <c r="F190" s="222" t="e">
        <f>salscenario2</f>
        <v>#REF!</v>
      </c>
      <c r="G190" s="218"/>
      <c r="H190" s="220" t="e">
        <f>salscenario2</f>
        <v>#REF!</v>
      </c>
      <c r="I190" s="218"/>
      <c r="J190" s="218"/>
      <c r="K190" s="218"/>
      <c r="L190" s="218"/>
      <c r="M190" s="223" t="s">
        <v>9</v>
      </c>
      <c r="N190" s="221"/>
      <c r="T190" s="5"/>
      <c r="U190" s="5"/>
      <c r="V190" s="5"/>
    </row>
    <row r="191" spans="1:22" ht="12.75" hidden="1">
      <c r="A191" s="72"/>
      <c r="B191" s="218"/>
      <c r="C191" s="218"/>
      <c r="D191" s="219"/>
      <c r="E191" s="219"/>
      <c r="F191" s="219"/>
      <c r="G191" s="218"/>
      <c r="H191" s="220"/>
      <c r="I191" s="218"/>
      <c r="J191" s="219" t="e">
        <f>salcenario2</f>
        <v>#REF!</v>
      </c>
      <c r="K191" s="219" t="e">
        <f>salscenario2</f>
        <v>#REF!</v>
      </c>
      <c r="L191" s="218"/>
      <c r="M191" s="219"/>
      <c r="N191" s="224"/>
      <c r="T191" s="5"/>
      <c r="U191" s="5"/>
      <c r="V191" s="5"/>
    </row>
    <row r="192" spans="1:22" ht="12.75" hidden="1">
      <c r="A192" s="72"/>
      <c r="B192" s="218" t="s">
        <v>33</v>
      </c>
      <c r="C192" s="218"/>
      <c r="D192" s="219"/>
      <c r="E192" s="219" t="s">
        <v>9</v>
      </c>
      <c r="F192" s="225">
        <f>lelni</f>
        <v>8424</v>
      </c>
      <c r="G192" s="218"/>
      <c r="H192" s="220"/>
      <c r="I192" s="218"/>
      <c r="J192" s="218"/>
      <c r="K192" s="218"/>
      <c r="L192" s="218"/>
      <c r="M192" s="218"/>
      <c r="N192" s="221"/>
      <c r="T192" s="5"/>
      <c r="U192" s="5"/>
      <c r="V192" s="5"/>
    </row>
    <row r="193" spans="1:22" ht="12.75" hidden="1">
      <c r="A193" s="72"/>
      <c r="B193" s="218"/>
      <c r="C193" s="218"/>
      <c r="D193" s="219"/>
      <c r="E193" s="219"/>
      <c r="F193" s="219" t="s">
        <v>9</v>
      </c>
      <c r="G193" s="218"/>
      <c r="H193" s="220"/>
      <c r="I193" s="218"/>
      <c r="J193" s="226" t="e">
        <f>SUM(J191:J192)</f>
        <v>#REF!</v>
      </c>
      <c r="K193" s="226" t="e">
        <f>SUM(K191:K192)</f>
        <v>#REF!</v>
      </c>
      <c r="L193" s="218"/>
      <c r="M193" s="226"/>
      <c r="N193" s="227"/>
      <c r="T193" s="5"/>
      <c r="U193" s="5"/>
      <c r="V193" s="5"/>
    </row>
    <row r="194" spans="1:22" ht="12.75" hidden="1">
      <c r="A194" s="72"/>
      <c r="B194" s="218" t="s">
        <v>54</v>
      </c>
      <c r="C194" s="218"/>
      <c r="D194" s="219"/>
      <c r="E194" s="219"/>
      <c r="F194" s="219" t="e">
        <f>IF(chooseyear=1,J193,K193)</f>
        <v>#REF!</v>
      </c>
      <c r="G194" s="218"/>
      <c r="H194" s="220"/>
      <c r="I194" s="218"/>
      <c r="J194" s="219" t="e">
        <f>ROUND(IF(grosscombined1-lelni&lt;0,0,(grosscombined1-lelni)*ersnirate1),2)</f>
        <v>#REF!</v>
      </c>
      <c r="K194" s="219" t="e">
        <f>ROUND(IF(grosscombined2-lelni&lt;0,0,(grosscombined2-lelni)*ersnirate2),2)</f>
        <v>#REF!</v>
      </c>
      <c r="L194" s="218"/>
      <c r="M194" s="219"/>
      <c r="N194" s="224"/>
      <c r="T194" s="5"/>
      <c r="U194" s="5"/>
      <c r="V194" s="5"/>
    </row>
    <row r="195" spans="1:22" ht="12.75" hidden="1">
      <c r="A195" s="72"/>
      <c r="B195" s="218"/>
      <c r="C195" s="218"/>
      <c r="D195" s="219"/>
      <c r="E195" s="219"/>
      <c r="F195" s="219"/>
      <c r="G195" s="218"/>
      <c r="H195" s="220"/>
      <c r="I195" s="218"/>
      <c r="J195" s="218"/>
      <c r="K195" s="218" t="s">
        <v>9</v>
      </c>
      <c r="L195" s="218"/>
      <c r="M195" s="218"/>
      <c r="N195" s="221"/>
      <c r="U195" s="5"/>
      <c r="V195" s="5"/>
    </row>
    <row r="196" spans="1:22" ht="12.75" hidden="1">
      <c r="A196" s="72"/>
      <c r="B196" s="218" t="s">
        <v>55</v>
      </c>
      <c r="C196" s="218"/>
      <c r="D196" s="219"/>
      <c r="E196" s="219"/>
      <c r="F196" s="219" t="e">
        <f>IF(chooseyear=1,J196,K196)</f>
        <v>#REF!</v>
      </c>
      <c r="G196" s="218"/>
      <c r="H196" s="220"/>
      <c r="I196" s="218"/>
      <c r="J196" s="226" t="e">
        <f>SUM(J194:J195)</f>
        <v>#REF!</v>
      </c>
      <c r="K196" s="226" t="e">
        <f>SUM(K194:K195)</f>
        <v>#REF!</v>
      </c>
      <c r="L196" s="218"/>
      <c r="M196" s="226"/>
      <c r="N196" s="227"/>
      <c r="U196" s="5"/>
      <c r="V196" s="5"/>
    </row>
    <row r="197" spans="1:22" ht="12.75" hidden="1">
      <c r="A197" s="72"/>
      <c r="B197" s="218" t="s">
        <v>58</v>
      </c>
      <c r="C197" s="218"/>
      <c r="D197" s="219"/>
      <c r="E197" s="219"/>
      <c r="F197" s="226" t="e">
        <f>SUM(F194:F196)</f>
        <v>#REF!</v>
      </c>
      <c r="G197" s="218"/>
      <c r="H197" s="220"/>
      <c r="I197" s="218"/>
      <c r="J197" s="226" t="e">
        <f>+J193+J196</f>
        <v>#REF!</v>
      </c>
      <c r="K197" s="226" t="e">
        <f>+K193+K196</f>
        <v>#REF!</v>
      </c>
      <c r="L197" s="218"/>
      <c r="M197" s="226"/>
      <c r="N197" s="227"/>
      <c r="U197" s="5"/>
      <c r="V197" s="5"/>
    </row>
    <row r="198" spans="1:22" ht="12.75" hidden="1">
      <c r="A198" s="72"/>
      <c r="B198" s="218"/>
      <c r="C198" s="218"/>
      <c r="D198" s="219"/>
      <c r="E198" s="219"/>
      <c r="F198" s="219"/>
      <c r="G198" s="218"/>
      <c r="H198" s="220"/>
      <c r="I198" s="218"/>
      <c r="J198" s="219" t="s">
        <v>9</v>
      </c>
      <c r="K198" s="219" t="s">
        <v>9</v>
      </c>
      <c r="L198" s="218"/>
      <c r="M198" s="218"/>
      <c r="N198" s="221"/>
      <c r="U198" s="5"/>
      <c r="V198" s="5"/>
    </row>
    <row r="199" spans="1:22" ht="12.75" hidden="1">
      <c r="A199" s="72"/>
      <c r="B199" s="218" t="s">
        <v>5</v>
      </c>
      <c r="C199" s="218"/>
      <c r="D199" s="219"/>
      <c r="E199" s="219"/>
      <c r="F199" s="222" t="e">
        <f>IF(ctaxprofit&lt;salcenario2,ctaxprofit,salcenario2)</f>
        <v>#REF!</v>
      </c>
      <c r="G199" s="218"/>
      <c r="H199" s="220"/>
      <c r="I199" s="218"/>
      <c r="J199" s="218"/>
      <c r="K199" s="219" t="e">
        <f>+F199-F200-F201</f>
        <v>#REF!</v>
      </c>
      <c r="L199" s="218"/>
      <c r="M199" s="218"/>
      <c r="N199" s="221"/>
      <c r="U199" s="5"/>
      <c r="V199" s="5"/>
    </row>
    <row r="200" spans="1:22" ht="12.75" hidden="1">
      <c r="A200" s="72"/>
      <c r="B200" s="218" t="s">
        <v>135</v>
      </c>
      <c r="C200" s="218"/>
      <c r="D200" s="219"/>
      <c r="E200" s="219"/>
      <c r="F200" s="219">
        <f>retannuity</f>
        <v>0</v>
      </c>
      <c r="G200" s="218"/>
      <c r="H200" s="220"/>
      <c r="I200" s="218"/>
      <c r="J200" s="218"/>
      <c r="K200" s="218"/>
      <c r="L200" s="218"/>
      <c r="M200" s="218"/>
      <c r="N200" s="221"/>
      <c r="U200" s="5"/>
      <c r="V200" s="5"/>
    </row>
    <row r="201" spans="1:22" ht="12.75" hidden="1">
      <c r="A201" s="72"/>
      <c r="B201" s="218" t="s">
        <v>6</v>
      </c>
      <c r="C201" s="218"/>
      <c r="D201" s="219"/>
      <c r="E201" s="219" t="s">
        <v>9</v>
      </c>
      <c r="F201" s="225">
        <f>persallowance</f>
        <v>11850</v>
      </c>
      <c r="G201" s="218"/>
      <c r="H201" s="220"/>
      <c r="I201" s="218"/>
      <c r="J201" s="218"/>
      <c r="K201" s="218"/>
      <c r="L201" s="218"/>
      <c r="M201" s="218"/>
      <c r="N201" s="221"/>
      <c r="U201" s="5"/>
      <c r="V201" s="5"/>
    </row>
    <row r="202" spans="1:22" ht="12.75" hidden="1">
      <c r="A202" s="72"/>
      <c r="B202" s="218"/>
      <c r="C202" s="218"/>
      <c r="D202" s="219"/>
      <c r="E202" s="219"/>
      <c r="F202" s="219"/>
      <c r="G202" s="218"/>
      <c r="H202" s="220"/>
      <c r="I202" s="218"/>
      <c r="J202" s="218"/>
      <c r="K202" s="218"/>
      <c r="L202" s="218"/>
      <c r="M202" s="218" t="s">
        <v>9</v>
      </c>
      <c r="N202" s="221"/>
      <c r="U202" s="5"/>
      <c r="V202" s="5"/>
    </row>
    <row r="203" spans="1:22" ht="12.75" hidden="1">
      <c r="A203" s="72"/>
      <c r="B203" s="218" t="s">
        <v>7</v>
      </c>
      <c r="C203" s="218"/>
      <c r="D203" s="219"/>
      <c r="E203" s="219"/>
      <c r="F203" s="219" t="e">
        <f>IF(salcenario2-retannuity&lt;persallowance,0,salcenario2-persallowance-retannuity)</f>
        <v>#REF!</v>
      </c>
      <c r="G203" s="218"/>
      <c r="H203" s="220" t="e">
        <f>H190</f>
        <v>#REF!</v>
      </c>
      <c r="I203" s="218"/>
      <c r="J203" s="218"/>
      <c r="K203" s="218"/>
      <c r="L203" s="218"/>
      <c r="M203" s="218"/>
      <c r="N203" s="221"/>
      <c r="U203" s="5"/>
      <c r="V203" s="5"/>
    </row>
    <row r="204" spans="1:22" ht="12.75" hidden="1">
      <c r="A204" s="72"/>
      <c r="B204" s="218"/>
      <c r="C204" s="218"/>
      <c r="D204" s="219" t="s">
        <v>11</v>
      </c>
      <c r="E204" s="219"/>
      <c r="F204" s="219"/>
      <c r="G204" s="218"/>
      <c r="H204" s="220"/>
      <c r="I204" s="218"/>
      <c r="J204" s="218"/>
      <c r="K204" s="218"/>
      <c r="L204" s="218"/>
      <c r="M204" s="218"/>
      <c r="N204" s="221"/>
      <c r="U204" s="5"/>
      <c r="V204" s="5"/>
    </row>
    <row r="205" spans="1:22" ht="12.75" hidden="1">
      <c r="A205" s="72"/>
      <c r="B205" s="228">
        <f>tenpercentrate</f>
        <v>0</v>
      </c>
      <c r="C205" s="218" t="s">
        <v>10</v>
      </c>
      <c r="D205" s="219">
        <f>tenpercentband</f>
        <v>2000</v>
      </c>
      <c r="E205" s="219" t="e">
        <f>M206</f>
        <v>#REF!</v>
      </c>
      <c r="F205" s="219"/>
      <c r="G205" s="218"/>
      <c r="H205" s="220"/>
      <c r="I205" s="218"/>
      <c r="J205" s="218"/>
      <c r="K205" s="218"/>
      <c r="L205" s="218"/>
      <c r="M205" s="218" t="e">
        <f>IF(chargeablescenario2&lt;=0,0,chargeablescenario2)</f>
        <v>#REF!</v>
      </c>
      <c r="N205" s="221"/>
      <c r="U205" s="5"/>
      <c r="V205" s="5"/>
    </row>
    <row r="206" spans="1:22" ht="12.75" hidden="1">
      <c r="A206" s="72"/>
      <c r="B206" s="218"/>
      <c r="C206" s="218"/>
      <c r="D206" s="219"/>
      <c r="E206" s="219"/>
      <c r="F206" s="219"/>
      <c r="G206" s="218"/>
      <c r="H206" s="220"/>
      <c r="I206" s="218"/>
      <c r="J206" s="218"/>
      <c r="K206" s="218"/>
      <c r="L206" s="218"/>
      <c r="M206" s="218" t="e">
        <f>IF(chargeablescenario2&gt;D205,D205*10%,chargeablescenario2*10%)</f>
        <v>#REF!</v>
      </c>
      <c r="N206" s="221"/>
      <c r="U206" s="5"/>
      <c r="V206" s="5"/>
    </row>
    <row r="207" spans="1:22" ht="12.75" hidden="1">
      <c r="A207" s="72"/>
      <c r="B207" s="228">
        <f>basicrate</f>
        <v>0.2</v>
      </c>
      <c r="C207" s="218" t="s">
        <v>10</v>
      </c>
      <c r="D207" s="219">
        <f>basicrateband+pensioncont</f>
        <v>34500</v>
      </c>
      <c r="E207" s="219" t="e">
        <f>M209</f>
        <v>#REF!</v>
      </c>
      <c r="F207" s="219"/>
      <c r="G207" s="218"/>
      <c r="H207" s="220"/>
      <c r="I207" s="218"/>
      <c r="J207" s="218"/>
      <c r="K207" s="218"/>
      <c r="L207" s="218"/>
      <c r="M207" s="218"/>
      <c r="N207" s="221"/>
      <c r="U207" s="5"/>
      <c r="V207" s="5"/>
    </row>
    <row r="208" spans="1:22" ht="12.75" hidden="1">
      <c r="A208" s="72"/>
      <c r="B208" s="218"/>
      <c r="C208" s="218"/>
      <c r="D208" s="219"/>
      <c r="E208" s="219"/>
      <c r="F208" s="219"/>
      <c r="G208" s="218"/>
      <c r="H208" s="220"/>
      <c r="I208" s="218" t="s">
        <v>140</v>
      </c>
      <c r="J208" s="218"/>
      <c r="K208" s="218"/>
      <c r="L208" s="218"/>
      <c r="M208" s="218" t="e">
        <f>IF(chargeablescenario2-D205&lt;0,0,chargeablescenario2-D205)</f>
        <v>#REF!</v>
      </c>
      <c r="N208" s="221"/>
      <c r="U208" s="5"/>
      <c r="V208" s="5"/>
    </row>
    <row r="209" spans="1:22" ht="12.75" hidden="1">
      <c r="A209" s="72"/>
      <c r="B209" s="228">
        <v>0.4</v>
      </c>
      <c r="C209" s="218" t="s">
        <v>10</v>
      </c>
      <c r="D209" s="219">
        <f>IF(chargeableItSalaryRoute-D205-D207&gt;0,chargeablescenario2-D205-D207,0)</f>
        <v>0</v>
      </c>
      <c r="E209" s="219" t="e">
        <f>M211</f>
        <v>#REF!</v>
      </c>
      <c r="F209" s="222" t="e">
        <f>SUM(E205:E209)</f>
        <v>#REF!</v>
      </c>
      <c r="G209" s="218"/>
      <c r="H209" s="220" t="e">
        <f>H190*40%</f>
        <v>#REF!</v>
      </c>
      <c r="I209" s="219" t="e">
        <f>IF(hrateon=1,H209,F209)</f>
        <v>#REF!</v>
      </c>
      <c r="J209" s="218"/>
      <c r="K209" s="218"/>
      <c r="L209" s="218"/>
      <c r="M209" s="223" t="e">
        <f>IF((test22scenario2-D207)&gt;0,+D207*B207,test22scenario2*B207)</f>
        <v>#REF!</v>
      </c>
      <c r="N209" s="221"/>
      <c r="U209" s="5"/>
      <c r="V209" s="5"/>
    </row>
    <row r="210" spans="1:22" ht="12.75" hidden="1">
      <c r="A210" s="72"/>
      <c r="B210" s="218"/>
      <c r="C210" s="218"/>
      <c r="D210" s="226">
        <f>SUM(D205:D209)</f>
        <v>36500</v>
      </c>
      <c r="E210" s="219"/>
      <c r="F210" s="219"/>
      <c r="G210" s="218"/>
      <c r="H210" s="220"/>
      <c r="I210" s="218"/>
      <c r="J210" s="218"/>
      <c r="K210" s="218"/>
      <c r="L210" s="218"/>
      <c r="M210" s="223" t="s">
        <v>9</v>
      </c>
      <c r="N210" s="221"/>
      <c r="U210" s="5"/>
      <c r="V210" s="5"/>
    </row>
    <row r="211" spans="1:22" ht="12.75" hidden="1">
      <c r="A211" s="72" t="s">
        <v>9</v>
      </c>
      <c r="B211" s="218" t="s">
        <v>64</v>
      </c>
      <c r="C211" s="218" t="s">
        <v>12</v>
      </c>
      <c r="D211" s="219">
        <f>lelni</f>
        <v>8424</v>
      </c>
      <c r="E211" s="219"/>
      <c r="F211" s="219"/>
      <c r="G211" s="218"/>
      <c r="H211" s="220"/>
      <c r="I211" s="218"/>
      <c r="J211" s="218"/>
      <c r="K211" s="218"/>
      <c r="L211" s="218"/>
      <c r="M211" s="223" t="e">
        <f>IF(chargeablescenario2-D205-D207&gt;0,(chargeablescenario2-D205-D207)*B209,0)</f>
        <v>#REF!</v>
      </c>
      <c r="N211" s="221"/>
      <c r="U211" s="5"/>
      <c r="V211" s="5"/>
    </row>
    <row r="212" spans="1:22" ht="12.75" hidden="1">
      <c r="A212" s="72"/>
      <c r="B212" s="218"/>
      <c r="C212" s="218" t="s">
        <v>13</v>
      </c>
      <c r="D212" s="219">
        <f>class4niupper</f>
        <v>46350</v>
      </c>
      <c r="E212" s="219"/>
      <c r="F212" s="219"/>
      <c r="G212" s="218"/>
      <c r="H212" s="220"/>
      <c r="I212" s="218"/>
      <c r="J212" s="228">
        <f>eesrate1</f>
        <v>0.12</v>
      </c>
      <c r="K212" s="228">
        <f>eesrate2</f>
        <v>0.12</v>
      </c>
      <c r="L212" s="218"/>
      <c r="M212" s="223" t="s">
        <v>9</v>
      </c>
      <c r="N212" s="221"/>
      <c r="U212" s="5"/>
      <c r="V212" s="5"/>
    </row>
    <row r="213" spans="1:22" ht="12.75" hidden="1">
      <c r="A213" s="72"/>
      <c r="B213" s="218"/>
      <c r="C213" s="218" t="s">
        <v>15</v>
      </c>
      <c r="D213" s="219" t="s">
        <v>9</v>
      </c>
      <c r="E213" s="219"/>
      <c r="F213" s="222" t="e">
        <f>IF(chooseyear=1,K213,K213)</f>
        <v>#REF!</v>
      </c>
      <c r="G213" s="218"/>
      <c r="H213" s="220"/>
      <c r="I213" s="218"/>
      <c r="J213" s="229" t="e">
        <f>IF(nicablecombined-lelni&lt;0,0,IF(nicablecombined&gt;uelni,(uelni-lelni)*eesrate1,(nicablecombined-lelni)*eesrate1))</f>
        <v>#REF!</v>
      </c>
      <c r="K213" s="229" t="e">
        <f>IF(nicablecombined-lelni&lt;0,0,IF(nicablecombined&gt;uelni,(uelni-lelni)*eesrate2+(nicablecombined-uelni)*1%,(nicablecombined-lelni)*eesrate2))</f>
        <v>#REF!</v>
      </c>
      <c r="L213" s="218"/>
      <c r="M213" s="223" t="s">
        <v>9</v>
      </c>
      <c r="N213" s="221"/>
      <c r="U213" s="5"/>
      <c r="V213" s="5"/>
    </row>
    <row r="214" spans="1:22" ht="12.75" hidden="1">
      <c r="A214" s="72"/>
      <c r="B214" s="218"/>
      <c r="C214" s="218"/>
      <c r="D214" s="219"/>
      <c r="E214" s="219"/>
      <c r="F214" s="219"/>
      <c r="G214" s="218"/>
      <c r="H214" s="220"/>
      <c r="I214" s="218"/>
      <c r="J214" s="218"/>
      <c r="K214" s="218"/>
      <c r="L214" s="218"/>
      <c r="M214" s="218" t="s">
        <v>9</v>
      </c>
      <c r="N214" s="221"/>
      <c r="U214" s="5"/>
      <c r="V214" s="5"/>
    </row>
    <row r="215" spans="1:22" ht="12.75" hidden="1">
      <c r="A215" s="72"/>
      <c r="B215" s="218"/>
      <c r="C215" s="218"/>
      <c r="D215" s="219">
        <f>29900-3744</f>
        <v>26156</v>
      </c>
      <c r="E215" s="219"/>
      <c r="F215" s="219"/>
      <c r="G215" s="218"/>
      <c r="H215" s="220"/>
      <c r="I215" s="218"/>
      <c r="J215" s="218"/>
      <c r="K215" s="218"/>
      <c r="L215" s="218"/>
      <c r="M215" s="218"/>
      <c r="N215" s="221"/>
      <c r="U215" s="5"/>
      <c r="V215" s="5"/>
    </row>
    <row r="216" spans="1:22" ht="12.75" hidden="1">
      <c r="A216" s="72"/>
      <c r="B216" s="218"/>
      <c r="C216" s="218"/>
      <c r="D216" s="219"/>
      <c r="E216" s="219"/>
      <c r="F216" s="219"/>
      <c r="G216" s="218"/>
      <c r="H216" s="220"/>
      <c r="I216" s="218"/>
      <c r="J216" s="218"/>
      <c r="K216" s="218"/>
      <c r="L216" s="218"/>
      <c r="M216" s="218"/>
      <c r="N216" s="221"/>
      <c r="U216" s="5"/>
      <c r="V216" s="5"/>
    </row>
    <row r="217" spans="1:22" ht="12.75" hidden="1">
      <c r="A217" s="72"/>
      <c r="B217" s="218"/>
      <c r="C217" s="218"/>
      <c r="D217" s="219"/>
      <c r="E217" s="219"/>
      <c r="F217" s="219"/>
      <c r="G217" s="218"/>
      <c r="H217" s="220"/>
      <c r="I217" s="218"/>
      <c r="J217" s="218"/>
      <c r="K217" s="218"/>
      <c r="L217" s="218"/>
      <c r="M217" s="218"/>
      <c r="N217" s="221"/>
      <c r="U217" s="5"/>
      <c r="V217" s="5"/>
    </row>
    <row r="218" spans="1:22" ht="12.75" hidden="1">
      <c r="A218" s="72"/>
      <c r="B218" s="217" t="s">
        <v>71</v>
      </c>
      <c r="C218" s="218"/>
      <c r="D218" s="219"/>
      <c r="E218" s="219"/>
      <c r="F218" s="219" t="e">
        <f>ROUND(liabletoctscenario2,2)</f>
        <v>#REF!</v>
      </c>
      <c r="G218" s="218"/>
      <c r="H218" s="220"/>
      <c r="I218" s="218"/>
      <c r="J218" s="218"/>
      <c r="K218" s="218"/>
      <c r="L218" s="218"/>
      <c r="M218" s="218"/>
      <c r="N218" s="221"/>
      <c r="U218" s="5"/>
      <c r="V218" s="5"/>
    </row>
    <row r="219" spans="1:22" ht="12.75" hidden="1">
      <c r="A219" s="72"/>
      <c r="B219" s="218"/>
      <c r="C219" s="218"/>
      <c r="D219" s="219"/>
      <c r="E219" s="219"/>
      <c r="F219" s="222">
        <f>numberofparts</f>
        <v>1</v>
      </c>
      <c r="G219" s="218"/>
      <c r="H219" s="220"/>
      <c r="I219" s="218"/>
      <c r="J219" s="218"/>
      <c r="K219" s="218"/>
      <c r="L219" s="218"/>
      <c r="M219" s="218"/>
      <c r="N219" s="221"/>
      <c r="U219" s="5"/>
      <c r="V219" s="5"/>
    </row>
    <row r="220" spans="1:22" ht="12.75" hidden="1">
      <c r="A220" s="72"/>
      <c r="B220" s="218" t="s">
        <v>20</v>
      </c>
      <c r="C220" s="218"/>
      <c r="D220" s="219"/>
      <c r="E220" s="219"/>
      <c r="F220" s="219" t="e">
        <f>ROUND(liabletoctscenario2*numberofparts,2)</f>
        <v>#REF!</v>
      </c>
      <c r="G220" s="218"/>
      <c r="H220" s="220"/>
      <c r="I220" s="218"/>
      <c r="J220" s="218"/>
      <c r="K220" s="218"/>
      <c r="L220" s="218"/>
      <c r="M220" s="218" t="e">
        <f>overallassessabletoctcombinedscenario2</f>
        <v>#REF!</v>
      </c>
      <c r="N220" s="221"/>
      <c r="U220" s="5"/>
      <c r="V220" s="5"/>
    </row>
    <row r="221" spans="1:22" ht="12.75" hidden="1">
      <c r="A221" s="72"/>
      <c r="B221" s="218" t="s">
        <v>72</v>
      </c>
      <c r="C221" s="218"/>
      <c r="D221" s="219"/>
      <c r="E221" s="219"/>
      <c r="F221" s="219">
        <f>retainedprofitinco</f>
        <v>0</v>
      </c>
      <c r="G221" s="218"/>
      <c r="H221" s="220"/>
      <c r="I221" s="218"/>
      <c r="J221" s="218"/>
      <c r="K221" s="218"/>
      <c r="L221" s="218"/>
      <c r="M221" s="218"/>
      <c r="N221" s="221"/>
      <c r="U221" s="5"/>
      <c r="V221" s="5"/>
    </row>
    <row r="222" spans="1:22" ht="12.75" hidden="1">
      <c r="A222" s="72"/>
      <c r="B222" s="218"/>
      <c r="C222" s="218"/>
      <c r="D222" s="219"/>
      <c r="E222" s="219"/>
      <c r="F222" s="219"/>
      <c r="G222" s="218"/>
      <c r="H222" s="220"/>
      <c r="I222" s="218"/>
      <c r="J222" s="218"/>
      <c r="K222" s="218"/>
      <c r="L222" s="218"/>
      <c r="M222" s="218"/>
      <c r="N222" s="221"/>
      <c r="U222" s="5"/>
      <c r="V222" s="5"/>
    </row>
    <row r="223" spans="1:22" ht="12.75" hidden="1">
      <c r="A223" s="72"/>
      <c r="B223" s="218" t="s">
        <v>12</v>
      </c>
      <c r="C223" s="218"/>
      <c r="D223" s="219"/>
      <c r="E223" s="219"/>
      <c r="F223" s="219">
        <v>0</v>
      </c>
      <c r="G223" s="218"/>
      <c r="H223" s="220"/>
      <c r="I223" s="218"/>
      <c r="J223" s="218"/>
      <c r="K223" s="218"/>
      <c r="L223" s="218"/>
      <c r="M223" s="218"/>
      <c r="N223" s="221"/>
      <c r="U223" s="5"/>
      <c r="V223" s="5"/>
    </row>
    <row r="224" spans="1:22" ht="12.75" hidden="1">
      <c r="A224" s="72"/>
      <c r="B224" s="218"/>
      <c r="C224" s="218"/>
      <c r="D224" s="219"/>
      <c r="E224" s="219"/>
      <c r="F224" s="219"/>
      <c r="G224" s="218"/>
      <c r="H224" s="220"/>
      <c r="I224" s="218"/>
      <c r="J224" s="218"/>
      <c r="K224" s="218"/>
      <c r="L224" s="218"/>
      <c r="M224" s="218"/>
      <c r="N224" s="221"/>
      <c r="U224" s="5"/>
      <c r="V224" s="5"/>
    </row>
    <row r="225" spans="1:22" ht="12.75" hidden="1">
      <c r="A225" s="72"/>
      <c r="B225" s="218"/>
      <c r="C225" s="218"/>
      <c r="D225" s="219"/>
      <c r="E225" s="219"/>
      <c r="F225" s="219" t="e">
        <f>+F220-F223</f>
        <v>#REF!</v>
      </c>
      <c r="G225" s="218"/>
      <c r="H225" s="220"/>
      <c r="I225" s="218">
        <f>assessablecombinedroute</f>
        <v>6576</v>
      </c>
      <c r="J225" s="218"/>
      <c r="K225" s="218"/>
      <c r="L225" s="218"/>
      <c r="M225" s="218"/>
      <c r="N225" s="221"/>
      <c r="U225" s="5"/>
      <c r="V225" s="5"/>
    </row>
    <row r="226" spans="1:22" ht="12.75" hidden="1">
      <c r="A226" s="72"/>
      <c r="B226" s="218"/>
      <c r="C226" s="218"/>
      <c r="D226" s="219"/>
      <c r="E226" s="219"/>
      <c r="F226" s="219"/>
      <c r="G226" s="218"/>
      <c r="H226" s="220"/>
      <c r="I226" s="218" t="s">
        <v>9</v>
      </c>
      <c r="J226" s="218"/>
      <c r="K226" s="218"/>
      <c r="L226" s="218"/>
      <c r="M226" s="218"/>
      <c r="N226" s="221"/>
      <c r="U226" s="5"/>
      <c r="V226" s="5"/>
    </row>
    <row r="227" spans="1:20" ht="12.75" hidden="1">
      <c r="A227" s="72"/>
      <c r="B227" s="218" t="s">
        <v>17</v>
      </c>
      <c r="C227" s="218"/>
      <c r="D227" s="219"/>
      <c r="E227" s="219"/>
      <c r="F227" s="219" t="e">
        <f>IF(chooseyear=1,X231,X231)</f>
        <v>#REF!</v>
      </c>
      <c r="G227" s="218"/>
      <c r="H227" s="220"/>
      <c r="I227" s="218"/>
      <c r="J227" s="230"/>
      <c r="K227" s="230"/>
      <c r="L227" s="218"/>
      <c r="M227" s="218"/>
      <c r="N227" s="221"/>
      <c r="T227" s="5"/>
    </row>
    <row r="228" spans="1:24" ht="12.75" hidden="1">
      <c r="A228" s="72"/>
      <c r="B228" s="218" t="s">
        <v>44</v>
      </c>
      <c r="C228" s="218"/>
      <c r="D228" s="219"/>
      <c r="E228" s="219"/>
      <c r="F228" s="219" t="e">
        <f>ROUND(+F227/numberofparts,2)</f>
        <v>#REF!</v>
      </c>
      <c r="G228" s="218"/>
      <c r="H228" s="220"/>
      <c r="I228" s="218"/>
      <c r="J228" s="219"/>
      <c r="K228" s="219"/>
      <c r="L228" s="218"/>
      <c r="M228" s="218"/>
      <c r="N228" s="221"/>
      <c r="P228" s="6" t="e">
        <f>F220</f>
        <v>#REF!</v>
      </c>
      <c r="Q228">
        <f>300000/asscos</f>
        <v>300000</v>
      </c>
      <c r="R228" t="e">
        <f>IF(P228&gt;Q228,P228,0)</f>
        <v>#REF!</v>
      </c>
      <c r="S228" s="4">
        <f>ctaxmainrate</f>
        <v>0.19</v>
      </c>
      <c r="T228" s="6" t="e">
        <f>+R228*S228</f>
        <v>#REF!</v>
      </c>
      <c r="U228" s="157">
        <f>V233</f>
        <v>0</v>
      </c>
      <c r="V228" s="5" t="e">
        <f>1500000/asscos-R228</f>
        <v>#REF!</v>
      </c>
      <c r="W228" s="6" t="e">
        <f>IF(+V228*U228&gt;0,+V228*U228,0)</f>
        <v>#REF!</v>
      </c>
      <c r="X228" s="6" t="e">
        <f>IF(T228-W228&lt;0,0,T228-W228)</f>
        <v>#REF!</v>
      </c>
    </row>
    <row r="229" spans="1:24" ht="12.75" hidden="1">
      <c r="A229" s="72"/>
      <c r="B229" s="218"/>
      <c r="C229" s="218"/>
      <c r="D229" s="219"/>
      <c r="E229" s="219"/>
      <c r="F229" s="219"/>
      <c r="G229" s="218"/>
      <c r="H229" s="220"/>
      <c r="I229" s="218"/>
      <c r="J229" s="219"/>
      <c r="K229" s="219"/>
      <c r="L229" s="218"/>
      <c r="M229" s="218"/>
      <c r="N229" s="221"/>
      <c r="P229" s="6" t="e">
        <f>F220</f>
        <v>#REF!</v>
      </c>
      <c r="Q229">
        <f>50000/asscos</f>
        <v>50000</v>
      </c>
      <c r="R229" t="e">
        <f>IF(P229&gt;Q229,P229,0)</f>
        <v>#REF!</v>
      </c>
      <c r="S229" s="4">
        <f>R1</f>
        <v>0.19</v>
      </c>
      <c r="T229" s="6" t="e">
        <f>+R229*S229</f>
        <v>#REF!</v>
      </c>
      <c r="U229" s="157">
        <f>V233</f>
        <v>0</v>
      </c>
      <c r="V229" t="e">
        <f>IF(50000/asscos-R229&gt;P229,(50000/asscos-R229),0)</f>
        <v>#REF!</v>
      </c>
      <c r="W229" s="6" t="e">
        <f>IF((+V229*U229)&gt;0,(152*U229),0)</f>
        <v>#REF!</v>
      </c>
      <c r="X229" s="6" t="e">
        <f>IF(X228&gt;0,0,IF(T229-W229&lt;0,0,T229-W229))</f>
        <v>#REF!</v>
      </c>
    </row>
    <row r="230" spans="1:24" ht="12.75" hidden="1">
      <c r="A230" s="72"/>
      <c r="B230" s="218" t="s">
        <v>45</v>
      </c>
      <c r="C230" s="218"/>
      <c r="D230" s="219"/>
      <c r="E230" s="219" t="s">
        <v>9</v>
      </c>
      <c r="F230" s="222" t="e">
        <f>F234</f>
        <v>#REF!</v>
      </c>
      <c r="G230" s="218"/>
      <c r="H230" s="220"/>
      <c r="I230" s="218"/>
      <c r="J230" s="219"/>
      <c r="K230" s="219"/>
      <c r="L230" s="218"/>
      <c r="M230" s="218"/>
      <c r="N230" s="221"/>
      <c r="P230" s="6" t="e">
        <f>F220</f>
        <v>#REF!</v>
      </c>
      <c r="Q230">
        <f>50000/asscos</f>
        <v>50000</v>
      </c>
      <c r="R230" t="e">
        <f>IF(P230&lt;=Q230,P230,0)</f>
        <v>#REF!</v>
      </c>
      <c r="S230" s="4">
        <f>R1</f>
        <v>0.19</v>
      </c>
      <c r="T230" s="6" t="e">
        <f>IF(R230&gt;10000,+R230*S230,0)</f>
        <v>#REF!</v>
      </c>
      <c r="U230" s="157">
        <v>0</v>
      </c>
      <c r="V230" t="e">
        <f>IF(R230&gt;10000,(50000/asscos-R230),0)</f>
        <v>#REF!</v>
      </c>
      <c r="W230" s="6" t="e">
        <f>IF((+V230*U230)&gt;0,+V230*U230,0)</f>
        <v>#REF!</v>
      </c>
      <c r="X230" s="6" t="e">
        <f>IF(T230-W230&lt;0,0,T230-W230)</f>
        <v>#REF!</v>
      </c>
    </row>
    <row r="231" spans="1:24" ht="12.75" hidden="1">
      <c r="A231" s="72"/>
      <c r="B231" s="218"/>
      <c r="C231" s="218"/>
      <c r="D231" s="219"/>
      <c r="E231" s="219"/>
      <c r="F231" s="219"/>
      <c r="G231" s="218"/>
      <c r="H231" s="220"/>
      <c r="I231" s="218"/>
      <c r="J231" s="219"/>
      <c r="K231" s="219"/>
      <c r="L231" s="218"/>
      <c r="M231" s="218"/>
      <c r="N231" s="221"/>
      <c r="T231" s="5"/>
      <c r="X231" s="17" t="e">
        <f>SUM(X228:X230)</f>
        <v>#REF!</v>
      </c>
    </row>
    <row r="232" spans="1:22" ht="12.75" hidden="1">
      <c r="A232" s="72"/>
      <c r="B232" s="218"/>
      <c r="C232" s="218"/>
      <c r="D232" s="219"/>
      <c r="E232" s="219"/>
      <c r="F232" s="219"/>
      <c r="G232" s="218"/>
      <c r="H232" s="220" t="s">
        <v>225</v>
      </c>
      <c r="I232" s="218"/>
      <c r="J232" s="218"/>
      <c r="K232" s="218"/>
      <c r="L232" s="218"/>
      <c r="M232" s="218"/>
      <c r="N232" s="221"/>
      <c r="U232" s="5"/>
      <c r="V232" s="5"/>
    </row>
    <row r="233" spans="1:22" ht="12.75" hidden="1">
      <c r="A233" s="72"/>
      <c r="B233" s="217" t="s">
        <v>73</v>
      </c>
      <c r="C233" s="218"/>
      <c r="D233" s="219"/>
      <c r="E233" s="219"/>
      <c r="F233" s="219" t="s">
        <v>9</v>
      </c>
      <c r="G233" s="218"/>
      <c r="H233" s="220"/>
      <c r="I233" s="218"/>
      <c r="J233" s="218"/>
      <c r="K233" s="218"/>
      <c r="L233" s="218"/>
      <c r="M233" s="218"/>
      <c r="N233" s="221"/>
      <c r="U233" s="157">
        <f>margfrac1</f>
        <v>0</v>
      </c>
      <c r="V233" s="157">
        <f>IF(chooseyear=1,U233,IF(chooseyear=2,U234,))</f>
        <v>0</v>
      </c>
    </row>
    <row r="234" spans="1:22" ht="12.75" hidden="1">
      <c r="A234" s="72"/>
      <c r="B234" s="218" t="s">
        <v>74</v>
      </c>
      <c r="C234" s="218"/>
      <c r="D234" s="219"/>
      <c r="E234" s="219"/>
      <c r="F234" s="219" t="e">
        <f>ROUND(divscenario2,2)</f>
        <v>#REF!</v>
      </c>
      <c r="G234" s="218"/>
      <c r="H234" s="220" t="e">
        <f>F234</f>
        <v>#REF!</v>
      </c>
      <c r="I234" s="218"/>
      <c r="J234" s="218" t="s">
        <v>184</v>
      </c>
      <c r="K234" s="218" t="e">
        <f>salscenario2</f>
        <v>#REF!</v>
      </c>
      <c r="L234" s="218"/>
      <c r="M234" s="218"/>
      <c r="N234" s="221"/>
      <c r="U234" s="184">
        <f>margfrac2</f>
        <v>0</v>
      </c>
      <c r="V234" s="157"/>
    </row>
    <row r="235" spans="1:22" ht="12.75" hidden="1">
      <c r="A235" s="72"/>
      <c r="B235" s="218" t="s">
        <v>75</v>
      </c>
      <c r="C235" s="218"/>
      <c r="D235" s="219"/>
      <c r="E235" s="219"/>
      <c r="F235" s="219" t="e">
        <f>divscenario2*10/90</f>
        <v>#REF!</v>
      </c>
      <c r="G235" s="218"/>
      <c r="H235" s="220" t="e">
        <f>F235</f>
        <v>#REF!</v>
      </c>
      <c r="I235" s="218"/>
      <c r="J235" s="218" t="s">
        <v>185</v>
      </c>
      <c r="K235" s="218">
        <f>persallowance</f>
        <v>11850</v>
      </c>
      <c r="L235" s="218"/>
      <c r="M235" s="218"/>
      <c r="N235" s="221"/>
      <c r="U235" s="157" t="s">
        <v>9</v>
      </c>
      <c r="V235" s="157"/>
    </row>
    <row r="236" spans="1:22" ht="12.75" hidden="1">
      <c r="A236" s="72"/>
      <c r="B236" s="218" t="s">
        <v>84</v>
      </c>
      <c r="C236" s="218"/>
      <c r="D236" s="219"/>
      <c r="E236" s="219"/>
      <c r="F236" s="219" t="e">
        <f>K237</f>
        <v>#REF!</v>
      </c>
      <c r="G236" s="218"/>
      <c r="H236" s="220" t="e">
        <f>salscenario2-retannuity</f>
        <v>#REF!</v>
      </c>
      <c r="I236" s="218"/>
      <c r="J236" s="218" t="s">
        <v>167</v>
      </c>
      <c r="K236" s="219">
        <f>retannuity</f>
        <v>0</v>
      </c>
      <c r="L236" s="218"/>
      <c r="M236" s="218" t="e">
        <f>IF(chargeablescenario2&gt;tenpercentband,tenpercentband*10%,chargeablescenario2*10%)</f>
        <v>#REF!</v>
      </c>
      <c r="N236" s="221"/>
      <c r="U236" s="5"/>
      <c r="V236" s="5"/>
    </row>
    <row r="237" spans="1:22" ht="12.75" hidden="1">
      <c r="A237" s="72"/>
      <c r="B237" s="218"/>
      <c r="C237" s="218"/>
      <c r="D237" s="219"/>
      <c r="E237" s="219"/>
      <c r="F237" s="226" t="e">
        <f>ROUND(SUM(F233:F236),2)</f>
        <v>#REF!</v>
      </c>
      <c r="G237" s="218"/>
      <c r="H237" s="231" t="e">
        <f>SUM(H234:H236)</f>
        <v>#REF!</v>
      </c>
      <c r="I237" s="218"/>
      <c r="J237" s="218"/>
      <c r="K237" s="219" t="e">
        <f>+K234-K235-K236</f>
        <v>#REF!</v>
      </c>
      <c r="L237" s="218"/>
      <c r="M237" s="218" t="s">
        <v>9</v>
      </c>
      <c r="N237" s="221"/>
      <c r="U237" s="5"/>
      <c r="V237" s="5"/>
    </row>
    <row r="238" spans="1:22" ht="12.75" hidden="1">
      <c r="A238" s="72"/>
      <c r="B238" s="218"/>
      <c r="C238" s="218"/>
      <c r="D238" s="219"/>
      <c r="E238" s="219"/>
      <c r="F238" s="219"/>
      <c r="G238" s="218"/>
      <c r="H238" s="220"/>
      <c r="I238" s="218"/>
      <c r="J238" s="218"/>
      <c r="K238" s="218">
        <f>pensioncont</f>
        <v>0</v>
      </c>
      <c r="L238" s="218"/>
      <c r="M238" s="218"/>
      <c r="N238" s="221"/>
      <c r="U238" s="5"/>
      <c r="V238" s="5"/>
    </row>
    <row r="239" spans="1:22" ht="12.75" hidden="1">
      <c r="A239" s="72"/>
      <c r="B239" s="218" t="s">
        <v>76</v>
      </c>
      <c r="C239" s="218"/>
      <c r="D239" s="219"/>
      <c r="E239" s="219" t="e">
        <f>IF(F237&gt;tenpercentband,tenpercentband,F237)</f>
        <v>#REF!</v>
      </c>
      <c r="F239" s="219" t="e">
        <f>+E239*0.1</f>
        <v>#REF!</v>
      </c>
      <c r="G239" s="218"/>
      <c r="H239" s="220">
        <f>N236</f>
        <v>0</v>
      </c>
      <c r="I239" s="218"/>
      <c r="J239" s="218"/>
      <c r="K239" s="218" t="e">
        <f>IF(K237+K238&gt;0,K237+K238,K238)</f>
        <v>#REF!</v>
      </c>
      <c r="L239" s="218" t="e">
        <f>IF(salscenario2&lt;persallowance,persallowance-salscenario2,0)</f>
        <v>#REF!</v>
      </c>
      <c r="M239" s="218" t="e">
        <f>M208</f>
        <v>#REF!</v>
      </c>
      <c r="N239" s="221"/>
      <c r="U239" s="5"/>
      <c r="V239" s="5"/>
    </row>
    <row r="240" spans="1:22" ht="12.75" hidden="1">
      <c r="A240" s="72"/>
      <c r="B240" s="218" t="s">
        <v>200</v>
      </c>
      <c r="C240" s="218"/>
      <c r="D240" s="219"/>
      <c r="E240" s="219" t="e">
        <f>IF((F236-E239)&lt;0,0,IF(F236-E239&gt;basicrateband,basicrateband,(F236-E239)))</f>
        <v>#REF!</v>
      </c>
      <c r="F240" s="219" t="e">
        <f>E207</f>
        <v>#REF!</v>
      </c>
      <c r="G240" s="218"/>
      <c r="H240" s="220"/>
      <c r="I240" s="218"/>
      <c r="J240" s="218"/>
      <c r="K240" s="218"/>
      <c r="L240" s="218"/>
      <c r="M240" s="223" t="e">
        <f>IF((test22percentscenario2-D240)&gt;0,+D240*B240,test22percentscenario2*B240)</f>
        <v>#REF!</v>
      </c>
      <c r="N240" s="221">
        <f>basicrateband</f>
        <v>34500</v>
      </c>
      <c r="U240" s="5"/>
      <c r="V240" s="5"/>
    </row>
    <row r="241" spans="1:22" ht="12.75" hidden="1">
      <c r="A241" s="72"/>
      <c r="B241" s="218" t="s">
        <v>78</v>
      </c>
      <c r="C241" s="218"/>
      <c r="D241" s="219"/>
      <c r="E241" s="219" t="e">
        <f>IF((K237&gt;E239+E240),K237-E239-E240,0)</f>
        <v>#REF!</v>
      </c>
      <c r="F241" s="219" t="e">
        <f>E241*40%</f>
        <v>#REF!</v>
      </c>
      <c r="G241" s="218" t="s">
        <v>9</v>
      </c>
      <c r="H241" s="220" t="e">
        <f>H236*higherratepercentage2</f>
        <v>#REF!</v>
      </c>
      <c r="I241" s="218"/>
      <c r="J241" s="218"/>
      <c r="K241" s="218"/>
      <c r="L241" s="218"/>
      <c r="M241" s="223" t="s">
        <v>9</v>
      </c>
      <c r="N241" s="221"/>
      <c r="U241" s="5"/>
      <c r="V241" s="5"/>
    </row>
    <row r="242" spans="1:22" ht="12.75" hidden="1">
      <c r="A242" s="72"/>
      <c r="B242" s="218"/>
      <c r="C242" s="218"/>
      <c r="D242" s="219"/>
      <c r="E242" s="219" t="s">
        <v>9</v>
      </c>
      <c r="F242" s="219" t="s">
        <v>9</v>
      </c>
      <c r="G242" s="218"/>
      <c r="H242" s="220"/>
      <c r="I242" s="218"/>
      <c r="J242" s="218"/>
      <c r="K242" s="218"/>
      <c r="L242" s="218"/>
      <c r="M242" s="223" t="e">
        <f>IF(chargeablescenario2-D239-D240&gt;0,(chargeablescenario2-D239-D240)*B241,0)</f>
        <v>#REF!</v>
      </c>
      <c r="N242" s="221"/>
      <c r="U242" s="5"/>
      <c r="V242" s="5"/>
    </row>
    <row r="243" spans="1:22" ht="12.75" hidden="1">
      <c r="A243" s="72"/>
      <c r="B243" s="218" t="s">
        <v>79</v>
      </c>
      <c r="C243" s="218"/>
      <c r="D243" s="219"/>
      <c r="E243" s="219" t="e">
        <f>IF(F237&gt;basicrateband,(basicrateband-E240),+F237-E239-E240)</f>
        <v>#REF!</v>
      </c>
      <c r="F243" s="219" t="e">
        <f>+E243*10%</f>
        <v>#REF!</v>
      </c>
      <c r="G243" s="218"/>
      <c r="H243" s="220"/>
      <c r="I243" s="218"/>
      <c r="J243" s="218">
        <f>J205</f>
        <v>0</v>
      </c>
      <c r="K243" s="218"/>
      <c r="L243" s="218"/>
      <c r="M243" s="223" t="s">
        <v>9</v>
      </c>
      <c r="N243" s="221"/>
      <c r="U243" s="5"/>
      <c r="V243" s="5"/>
    </row>
    <row r="244" spans="1:22" ht="12.75" hidden="1">
      <c r="A244" s="72"/>
      <c r="B244" s="218" t="s">
        <v>80</v>
      </c>
      <c r="C244" s="218"/>
      <c r="D244" s="219"/>
      <c r="E244" s="219" t="e">
        <f>IF($F$237-(SUM($E$239:$E$243))&gt;hrtaxband2,hrtaxband2-SUM(E239:E243),F237-SUM(E239:E243))</f>
        <v>#REF!</v>
      </c>
      <c r="F244" s="219">
        <f>$E$245*32.5%</f>
        <v>0</v>
      </c>
      <c r="G244" s="218"/>
      <c r="H244" s="220"/>
      <c r="I244" s="218"/>
      <c r="J244" s="218"/>
      <c r="K244" s="218"/>
      <c r="L244" s="218"/>
      <c r="M244" s="223" t="s">
        <v>9</v>
      </c>
      <c r="N244" s="221"/>
      <c r="U244" s="5"/>
      <c r="V244" s="5"/>
    </row>
    <row r="245" spans="1:22" ht="12.75" hidden="1">
      <c r="A245" s="72"/>
      <c r="B245" s="218" t="s">
        <v>224</v>
      </c>
      <c r="C245" s="218"/>
      <c r="D245" s="219"/>
      <c r="E245" s="219">
        <v>0</v>
      </c>
      <c r="F245" s="219">
        <v>0</v>
      </c>
      <c r="G245" s="218"/>
      <c r="H245" s="220" t="e">
        <f>+(H234+H235)*32.5%</f>
        <v>#REF!</v>
      </c>
      <c r="I245" s="218"/>
      <c r="J245" s="218"/>
      <c r="K245" s="218"/>
      <c r="L245" s="218"/>
      <c r="M245" s="218" t="s">
        <v>9</v>
      </c>
      <c r="N245" s="221"/>
      <c r="U245" s="5"/>
      <c r="V245" s="5"/>
    </row>
    <row r="246" spans="1:22" ht="12.75" hidden="1">
      <c r="A246" s="72"/>
      <c r="B246" s="218"/>
      <c r="C246" s="218"/>
      <c r="D246" s="219"/>
      <c r="E246" s="226" t="e">
        <f>SUM(E239:E245)</f>
        <v>#REF!</v>
      </c>
      <c r="F246" s="226" t="e">
        <f>SUM(F239:F245)</f>
        <v>#REF!</v>
      </c>
      <c r="G246" s="218"/>
      <c r="H246" s="231" t="e">
        <f>SUM(H240:H245)</f>
        <v>#REF!</v>
      </c>
      <c r="I246" s="218"/>
      <c r="J246" s="218"/>
      <c r="K246" s="218"/>
      <c r="L246" s="218" t="s">
        <v>168</v>
      </c>
      <c r="M246" s="219" t="e">
        <f>F235</f>
        <v>#REF!</v>
      </c>
      <c r="N246" s="221"/>
      <c r="U246" s="5"/>
      <c r="V246" s="5"/>
    </row>
    <row r="247" spans="1:22" ht="12.75" hidden="1">
      <c r="A247" s="72"/>
      <c r="B247" s="218" t="s">
        <v>81</v>
      </c>
      <c r="C247" s="218"/>
      <c r="D247" s="219"/>
      <c r="E247" s="219"/>
      <c r="F247" s="219" t="e">
        <f>M249</f>
        <v>#REF!</v>
      </c>
      <c r="G247" s="218"/>
      <c r="H247" s="220" t="e">
        <f>H235</f>
        <v>#REF!</v>
      </c>
      <c r="I247" s="218"/>
      <c r="J247" s="218"/>
      <c r="K247" s="218"/>
      <c r="L247" s="218"/>
      <c r="M247" s="219"/>
      <c r="N247" s="224"/>
      <c r="U247" s="5"/>
      <c r="V247" s="5"/>
    </row>
    <row r="248" spans="1:22" ht="12.75" hidden="1">
      <c r="A248" s="72"/>
      <c r="B248" s="218" t="s">
        <v>82</v>
      </c>
      <c r="C248" s="218"/>
      <c r="D248" s="219"/>
      <c r="E248" s="219"/>
      <c r="F248" s="226" t="e">
        <f>IF(+F246-F247&gt;0,(+F246-F247),0)</f>
        <v>#REF!</v>
      </c>
      <c r="G248" s="218"/>
      <c r="H248" s="231" t="e">
        <f>IF(+H246-H247&gt;0,(+H246-H247),0)</f>
        <v>#REF!</v>
      </c>
      <c r="I248" s="218"/>
      <c r="J248" s="218"/>
      <c r="K248" s="218"/>
      <c r="L248" s="218" t="s">
        <v>169</v>
      </c>
      <c r="M248" s="219" t="e">
        <f>IF((salscenario2-retannuity)&gt;persallowance,0,((persallowance-salscenario2+retannuity))*10%)</f>
        <v>#REF!</v>
      </c>
      <c r="N248" s="224"/>
      <c r="U248" s="5"/>
      <c r="V248" s="5"/>
    </row>
    <row r="249" spans="1:22" ht="12.75" hidden="1">
      <c r="A249" s="72"/>
      <c r="B249" s="218" t="s">
        <v>85</v>
      </c>
      <c r="C249" s="218"/>
      <c r="D249" s="219"/>
      <c r="E249" s="219"/>
      <c r="F249" s="219" t="e">
        <f>ROUND(itscenario2,2)</f>
        <v>#REF!</v>
      </c>
      <c r="G249" s="219" t="s">
        <v>9</v>
      </c>
      <c r="H249" s="220">
        <f>taxonsalcombined2</f>
        <v>3790.8</v>
      </c>
      <c r="I249" s="218" t="s">
        <v>140</v>
      </c>
      <c r="J249" s="218"/>
      <c r="K249" s="218"/>
      <c r="L249" s="218"/>
      <c r="M249" s="219" t="e">
        <f>+M246-M248</f>
        <v>#REF!</v>
      </c>
      <c r="N249" s="221"/>
      <c r="U249" s="5"/>
      <c r="V249" s="5"/>
    </row>
    <row r="250" spans="1:22" ht="12.75" hidden="1">
      <c r="A250" s="72"/>
      <c r="B250" s="218" t="s">
        <v>86</v>
      </c>
      <c r="C250" s="218"/>
      <c r="D250" s="219"/>
      <c r="E250" s="219"/>
      <c r="F250" s="219" t="e">
        <f>IF(F248&gt;F249,F248,F249)</f>
        <v>#REF!</v>
      </c>
      <c r="G250" s="218"/>
      <c r="H250" s="220" t="e">
        <f>IF(H248&gt;0,H248,H249)</f>
        <v>#REF!</v>
      </c>
      <c r="I250" s="219" t="e">
        <f>IF(hrateon=1,H250,F250)</f>
        <v>#REF!</v>
      </c>
      <c r="J250" s="218"/>
      <c r="K250" s="218"/>
      <c r="L250" s="218"/>
      <c r="M250" s="218"/>
      <c r="N250" s="224"/>
      <c r="U250" s="5"/>
      <c r="V250" s="5"/>
    </row>
    <row r="251" spans="1:22" ht="12.75" hidden="1">
      <c r="A251" s="72"/>
      <c r="B251" s="218"/>
      <c r="C251" s="218"/>
      <c r="D251" s="219"/>
      <c r="E251" s="219"/>
      <c r="F251" s="219"/>
      <c r="G251" s="218"/>
      <c r="H251" s="220"/>
      <c r="I251" s="218"/>
      <c r="J251" s="218"/>
      <c r="K251" s="218"/>
      <c r="L251" s="218"/>
      <c r="M251" s="218"/>
      <c r="N251" s="221"/>
      <c r="U251" s="5"/>
      <c r="V251" s="5"/>
    </row>
    <row r="252" spans="1:22" ht="12.75" hidden="1">
      <c r="A252" s="72"/>
      <c r="B252" s="218"/>
      <c r="C252" s="218"/>
      <c r="D252" s="219"/>
      <c r="E252" s="219"/>
      <c r="F252" s="219"/>
      <c r="G252" s="218"/>
      <c r="H252" s="220"/>
      <c r="I252" s="218"/>
      <c r="J252" s="218"/>
      <c r="K252" s="218"/>
      <c r="L252" s="218"/>
      <c r="M252" s="218"/>
      <c r="N252" s="221"/>
      <c r="U252" s="5"/>
      <c r="V252" s="5"/>
    </row>
    <row r="253" spans="1:22" ht="12.75" hidden="1">
      <c r="A253" s="232"/>
      <c r="B253" s="233"/>
      <c r="C253" s="233"/>
      <c r="D253" s="234"/>
      <c r="E253" s="234"/>
      <c r="F253" s="234"/>
      <c r="G253" s="233"/>
      <c r="H253" s="235"/>
      <c r="I253" s="233"/>
      <c r="J253" s="233"/>
      <c r="K253" s="233"/>
      <c r="L253" s="233"/>
      <c r="M253" s="233"/>
      <c r="N253" s="236"/>
      <c r="U253" s="5"/>
      <c r="V253" s="5"/>
    </row>
    <row r="254" spans="21:22" ht="12.75" hidden="1">
      <c r="U254" s="5"/>
      <c r="V254" s="5"/>
    </row>
    <row r="255" spans="21:22" ht="12.75" hidden="1">
      <c r="U255" s="5"/>
      <c r="V255" s="5"/>
    </row>
    <row r="256" spans="21:22" ht="12.75" hidden="1">
      <c r="U256" s="5"/>
      <c r="V256" s="5"/>
    </row>
    <row r="257" spans="21:22" ht="12.75" hidden="1">
      <c r="U257" s="5"/>
      <c r="V257" s="5"/>
    </row>
    <row r="258" spans="21:22" ht="12.75" hidden="1">
      <c r="U258" s="5"/>
      <c r="V258" s="5"/>
    </row>
    <row r="259" spans="21:22" ht="12.75" hidden="1">
      <c r="U259" s="5"/>
      <c r="V259" s="5"/>
    </row>
    <row r="260" spans="21:22" ht="12.75" hidden="1">
      <c r="U260" s="5"/>
      <c r="V260" s="5"/>
    </row>
    <row r="261" spans="21:22" ht="12.75" hidden="1">
      <c r="U261" s="5"/>
      <c r="V261" s="5"/>
    </row>
    <row r="262" spans="21:22" ht="12.75" hidden="1">
      <c r="U262" s="5"/>
      <c r="V262" s="5"/>
    </row>
    <row r="263" spans="21:22" ht="12.75" hidden="1">
      <c r="U263" s="5"/>
      <c r="V263" s="5"/>
    </row>
    <row r="264" spans="21:22" ht="12.75" hidden="1">
      <c r="U264" s="5"/>
      <c r="V264" s="5"/>
    </row>
    <row r="265" spans="21:22" ht="12.75" hidden="1">
      <c r="U265" s="5"/>
      <c r="V265" s="5"/>
    </row>
    <row r="266" spans="21:22" ht="12.75" hidden="1">
      <c r="U266" s="5"/>
      <c r="V266" s="5"/>
    </row>
    <row r="267" spans="21:22" ht="12.75" hidden="1">
      <c r="U267" s="5"/>
      <c r="V267" s="5"/>
    </row>
    <row r="268" spans="21:22" ht="12.75" hidden="1">
      <c r="U268" s="5"/>
      <c r="V268" s="5"/>
    </row>
    <row r="269" spans="21:22" ht="12.75" hidden="1">
      <c r="U269" s="5"/>
      <c r="V269" s="5"/>
    </row>
    <row r="270" spans="21:22" ht="12.75" hidden="1">
      <c r="U270" s="5"/>
      <c r="V270" s="5"/>
    </row>
    <row r="271" spans="21:22" ht="12.75" hidden="1">
      <c r="U271" s="5"/>
      <c r="V271" s="5"/>
    </row>
    <row r="272" spans="21:22" ht="12.75" hidden="1">
      <c r="U272" s="5"/>
      <c r="V272" s="5"/>
    </row>
    <row r="273" spans="21:22" ht="12.75" hidden="1">
      <c r="U273" s="5"/>
      <c r="V273" s="5"/>
    </row>
    <row r="274" spans="21:22" ht="12.75" hidden="1">
      <c r="U274" s="5"/>
      <c r="V274" s="5"/>
    </row>
    <row r="275" spans="21:22" ht="12.75" hidden="1">
      <c r="U275" s="5"/>
      <c r="V275" s="5"/>
    </row>
    <row r="276" spans="21:22" ht="12.75" hidden="1">
      <c r="U276" s="5"/>
      <c r="V276" s="5"/>
    </row>
    <row r="277" spans="21:22" ht="12.75" hidden="1">
      <c r="U277" s="5"/>
      <c r="V277" s="5"/>
    </row>
    <row r="278" spans="21:22" ht="12.75" hidden="1">
      <c r="U278" s="5"/>
      <c r="V278" s="5"/>
    </row>
    <row r="279" spans="21:22" ht="12.75" hidden="1">
      <c r="U279" s="5"/>
      <c r="V279" s="5"/>
    </row>
    <row r="280" spans="21:22" ht="12.75" hidden="1">
      <c r="U280" s="5"/>
      <c r="V280" s="5"/>
    </row>
    <row r="281" spans="21:22" ht="12.75" hidden="1">
      <c r="U281" s="5"/>
      <c r="V281" s="5"/>
    </row>
    <row r="282" spans="21:22" ht="12.75" hidden="1">
      <c r="U282" s="5"/>
      <c r="V282" s="5"/>
    </row>
    <row r="283" spans="21:22" ht="12.75" hidden="1">
      <c r="U283" s="5"/>
      <c r="V283" s="5"/>
    </row>
    <row r="284" spans="21:22" ht="12.75" hidden="1">
      <c r="U284" s="5"/>
      <c r="V284" s="5"/>
    </row>
    <row r="285" spans="21:22" ht="12.75" hidden="1">
      <c r="U285" s="5"/>
      <c r="V285" s="5"/>
    </row>
    <row r="286" spans="21:22" ht="12.75" hidden="1">
      <c r="U286" s="5"/>
      <c r="V286" s="5"/>
    </row>
    <row r="287" spans="21:22" ht="12.75" hidden="1">
      <c r="U287" s="5"/>
      <c r="V287" s="5"/>
    </row>
    <row r="288" spans="21:22" ht="12.75" hidden="1">
      <c r="U288" s="5"/>
      <c r="V288" s="5"/>
    </row>
    <row r="289" spans="21:22" ht="12.75" hidden="1">
      <c r="U289" s="5"/>
      <c r="V289" s="5"/>
    </row>
    <row r="290" spans="21:22" ht="12.75" hidden="1">
      <c r="U290" s="5"/>
      <c r="V290" s="5"/>
    </row>
    <row r="291" spans="21:22" ht="12.75" hidden="1">
      <c r="U291" s="5"/>
      <c r="V291" s="5"/>
    </row>
    <row r="292" spans="21:22" ht="12.75" hidden="1">
      <c r="U292" s="5"/>
      <c r="V292" s="5"/>
    </row>
    <row r="293" spans="21:22" ht="12.75" hidden="1">
      <c r="U293" s="5"/>
      <c r="V293" s="5"/>
    </row>
    <row r="294" spans="21:22" ht="12.75" hidden="1">
      <c r="U294" s="5"/>
      <c r="V294" s="5"/>
    </row>
    <row r="295" spans="21:22" ht="12.75" hidden="1">
      <c r="U295" s="5"/>
      <c r="V295" s="5"/>
    </row>
    <row r="296" spans="21:22" ht="12.75" hidden="1">
      <c r="U296" s="5"/>
      <c r="V296" s="5"/>
    </row>
    <row r="297" spans="21:22" ht="12.75" hidden="1">
      <c r="U297" s="5"/>
      <c r="V297" s="5"/>
    </row>
    <row r="298" spans="21:22" ht="12.75" hidden="1">
      <c r="U298" s="5"/>
      <c r="V298" s="5"/>
    </row>
    <row r="299" spans="21:22" ht="12.75" hidden="1">
      <c r="U299" s="5"/>
      <c r="V299" s="5"/>
    </row>
    <row r="300" spans="21:22" ht="12.75" hidden="1">
      <c r="U300" s="5"/>
      <c r="V300" s="5"/>
    </row>
    <row r="301" spans="21:22" ht="12.75" hidden="1">
      <c r="U301" s="5"/>
      <c r="V301" s="5"/>
    </row>
    <row r="302" spans="21:22" ht="12.75" hidden="1">
      <c r="U302" s="5"/>
      <c r="V302" s="5"/>
    </row>
    <row r="303" spans="21:22" ht="12.75" hidden="1">
      <c r="U303" s="5"/>
      <c r="V303" s="5"/>
    </row>
    <row r="304" spans="21:22" ht="12.75" hidden="1">
      <c r="U304" s="5"/>
      <c r="V304" s="5"/>
    </row>
    <row r="305" spans="21:22" ht="12.75" hidden="1">
      <c r="U305" s="5"/>
      <c r="V305" s="5"/>
    </row>
    <row r="306" ht="12.75" hidden="1"/>
    <row r="307" ht="12.75" hidden="1"/>
    <row r="308" ht="12.75" hidden="1"/>
    <row r="309" ht="12.75" hidden="1"/>
    <row r="310" ht="12.75" hidden="1"/>
    <row r="311" ht="12.75" hidden="1"/>
    <row r="312" ht="12.75" hidden="1"/>
    <row r="313" ht="12.75" hidden="1"/>
    <row r="314" ht="12.75" hidden="1"/>
    <row r="315" ht="12.75" hidden="1"/>
    <row r="318" spans="5:6" ht="12.75">
      <c r="E318" s="191"/>
      <c r="F318" s="191"/>
    </row>
    <row r="319" ht="12.75">
      <c r="B319" s="90"/>
    </row>
    <row r="320" ht="12.75">
      <c r="B320" s="90"/>
    </row>
    <row r="321" ht="12.75">
      <c r="B321" s="90"/>
    </row>
    <row r="322" ht="12.75">
      <c r="B322" s="90"/>
    </row>
  </sheetData>
  <sheetProtection/>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
  <dimension ref="A2:H107"/>
  <sheetViews>
    <sheetView zoomScalePageLayoutView="0" workbookViewId="0" topLeftCell="A70">
      <selection activeCell="F104" sqref="F104"/>
    </sheetView>
  </sheetViews>
  <sheetFormatPr defaultColWidth="9.140625" defaultRowHeight="12.75"/>
  <cols>
    <col min="2" max="3" width="11.28125" style="0" bestFit="1" customWidth="1"/>
  </cols>
  <sheetData>
    <row r="2" spans="2:6" ht="12.75">
      <c r="B2" t="s">
        <v>254</v>
      </c>
      <c r="F2" t="s">
        <v>273</v>
      </c>
    </row>
    <row r="5" spans="2:3" ht="12.75">
      <c r="B5" s="90" t="s">
        <v>369</v>
      </c>
      <c r="C5" s="90" t="s">
        <v>376</v>
      </c>
    </row>
    <row r="6" spans="1:8" ht="12.75">
      <c r="A6" t="s">
        <v>255</v>
      </c>
      <c r="B6">
        <f>IF($D$7=TRUE,B8,B7)</f>
        <v>33500</v>
      </c>
      <c r="C6">
        <v>34500</v>
      </c>
      <c r="F6">
        <f>IF(chooseyear=1,B6,C6)</f>
        <v>34500</v>
      </c>
      <c r="H6" t="s">
        <v>206</v>
      </c>
    </row>
    <row r="7" spans="1:4" ht="12.75">
      <c r="A7" s="90" t="s">
        <v>371</v>
      </c>
      <c r="B7">
        <v>33500</v>
      </c>
      <c r="C7">
        <v>33500</v>
      </c>
      <c r="D7" t="b">
        <v>0</v>
      </c>
    </row>
    <row r="8" spans="1:3" ht="12.75">
      <c r="A8" s="270" t="s">
        <v>372</v>
      </c>
      <c r="B8">
        <v>31500</v>
      </c>
      <c r="C8">
        <v>31500</v>
      </c>
    </row>
    <row r="10" spans="1:8" ht="12.75">
      <c r="A10" s="4">
        <v>0.4</v>
      </c>
      <c r="B10">
        <v>150000</v>
      </c>
      <c r="C10">
        <v>150000</v>
      </c>
      <c r="F10">
        <f>IF(chooseyear=1,B10,C10)</f>
        <v>150000</v>
      </c>
      <c r="H10" s="90" t="s">
        <v>242</v>
      </c>
    </row>
    <row r="11" ht="12.75">
      <c r="A11" s="4"/>
    </row>
    <row r="12" spans="1:8" ht="12.75">
      <c r="A12" s="4">
        <v>0.45</v>
      </c>
      <c r="B12" s="4">
        <v>0.45</v>
      </c>
      <c r="C12" s="4">
        <v>0.45</v>
      </c>
      <c r="F12" s="14">
        <f>IF(chooseyear=1,B12,C12)</f>
        <v>0.45</v>
      </c>
      <c r="H12" s="90" t="s">
        <v>299</v>
      </c>
    </row>
    <row r="14" ht="12.75">
      <c r="A14" s="90" t="s">
        <v>276</v>
      </c>
    </row>
    <row r="16" spans="1:6" ht="12.75">
      <c r="A16" s="270" t="s">
        <v>277</v>
      </c>
      <c r="B16" s="270">
        <v>0.2</v>
      </c>
      <c r="C16" s="270">
        <v>0.2</v>
      </c>
      <c r="F16" s="14">
        <f>IF(chooseyear=1,B16,C16)</f>
        <v>0.2</v>
      </c>
    </row>
    <row r="17" ht="12.75">
      <c r="F17" s="14"/>
    </row>
    <row r="18" spans="1:6" ht="12.75">
      <c r="A18" s="270" t="s">
        <v>278</v>
      </c>
      <c r="B18" s="4">
        <v>0.4</v>
      </c>
      <c r="C18" s="4">
        <v>0.4</v>
      </c>
      <c r="F18" s="14">
        <f>IF(chooseyear=1,B18,C18)</f>
        <v>0.4</v>
      </c>
    </row>
    <row r="19" spans="1:6" ht="12.75">
      <c r="A19" s="4"/>
      <c r="F19" s="14"/>
    </row>
    <row r="20" spans="1:6" ht="12.75">
      <c r="A20" s="90" t="s">
        <v>279</v>
      </c>
      <c r="B20" s="4">
        <v>0.45</v>
      </c>
      <c r="C20" s="4">
        <v>0.45</v>
      </c>
      <c r="F20" s="14">
        <f>IF(chooseyear=1,B20,C20)</f>
        <v>0.45</v>
      </c>
    </row>
    <row r="21" ht="12.75">
      <c r="A21" s="90"/>
    </row>
    <row r="22" ht="12.75">
      <c r="A22" t="s">
        <v>256</v>
      </c>
    </row>
    <row r="24" spans="2:6" ht="12.75">
      <c r="B24">
        <v>11500</v>
      </c>
      <c r="C24">
        <v>11850</v>
      </c>
      <c r="F24">
        <f>IF(chooseyear=1,B24,C24)</f>
        <v>11850</v>
      </c>
    </row>
    <row r="26" spans="1:6" ht="12.75">
      <c r="A26" t="s">
        <v>257</v>
      </c>
      <c r="B26">
        <v>11500</v>
      </c>
      <c r="C26">
        <v>11850</v>
      </c>
      <c r="F26">
        <f>IF(chooseyear=1,B26,C26)</f>
        <v>11850</v>
      </c>
    </row>
    <row r="28" spans="1:6" ht="12.75">
      <c r="A28" t="s">
        <v>258</v>
      </c>
      <c r="B28">
        <v>11500</v>
      </c>
      <c r="C28">
        <v>11850</v>
      </c>
      <c r="F28">
        <f>IF(chooseyear=1,B28,C28)</f>
        <v>11850</v>
      </c>
    </row>
    <row r="30" spans="1:6" ht="12.75">
      <c r="A30" t="s">
        <v>259</v>
      </c>
      <c r="B30">
        <v>8445</v>
      </c>
      <c r="C30">
        <v>8695</v>
      </c>
      <c r="F30">
        <f>IF(chooseyear=1,B30,C30)</f>
        <v>8695</v>
      </c>
    </row>
    <row r="32" spans="1:6" ht="12.75">
      <c r="A32" s="90" t="s">
        <v>300</v>
      </c>
      <c r="B32">
        <v>3260</v>
      </c>
      <c r="C32">
        <v>3360</v>
      </c>
      <c r="F32">
        <f>IF(chooseyear=1,B32,C32)</f>
        <v>3360</v>
      </c>
    </row>
    <row r="34" spans="1:6" ht="12.75">
      <c r="A34" t="s">
        <v>260</v>
      </c>
      <c r="B34">
        <v>100000</v>
      </c>
      <c r="C34">
        <v>100000</v>
      </c>
      <c r="F34">
        <f>IF(chooseyear=1,B34,C34)</f>
        <v>100000</v>
      </c>
    </row>
    <row r="36" spans="1:6" ht="12.75">
      <c r="A36" t="s">
        <v>261</v>
      </c>
      <c r="B36">
        <v>28000</v>
      </c>
      <c r="C36">
        <v>28900</v>
      </c>
      <c r="F36">
        <f>IF(chooseyear=1,B36,C36)</f>
        <v>28900</v>
      </c>
    </row>
    <row r="38" spans="1:6" ht="12.75">
      <c r="A38" t="s">
        <v>262</v>
      </c>
      <c r="B38">
        <v>2320</v>
      </c>
      <c r="C38">
        <v>2390</v>
      </c>
      <c r="F38">
        <f>IF(chooseyear=1,B38,C38)</f>
        <v>2390</v>
      </c>
    </row>
    <row r="40" ht="12.75">
      <c r="A40" s="90" t="s">
        <v>63</v>
      </c>
    </row>
    <row r="42" spans="1:6" ht="12.75">
      <c r="A42" t="s">
        <v>33</v>
      </c>
      <c r="B42">
        <v>113</v>
      </c>
      <c r="C42">
        <v>116</v>
      </c>
      <c r="D42" s="90" t="s">
        <v>274</v>
      </c>
      <c r="F42">
        <f>IF(chooseyear=1,B42,C42)</f>
        <v>116</v>
      </c>
    </row>
    <row r="43" ht="12.75">
      <c r="D43" s="90" t="s">
        <v>31</v>
      </c>
    </row>
    <row r="44" spans="2:4" ht="12.75">
      <c r="B44" s="90" t="s">
        <v>9</v>
      </c>
      <c r="C44" s="90" t="s">
        <v>9</v>
      </c>
      <c r="D44" s="90" t="s">
        <v>275</v>
      </c>
    </row>
    <row r="45" spans="1:4" ht="12.75">
      <c r="A45" t="s">
        <v>263</v>
      </c>
      <c r="B45">
        <v>157</v>
      </c>
      <c r="C45">
        <v>162</v>
      </c>
      <c r="D45" s="90" t="s">
        <v>274</v>
      </c>
    </row>
    <row r="46" ht="12.75">
      <c r="D46" s="90" t="s">
        <v>31</v>
      </c>
    </row>
    <row r="47" spans="2:8" ht="12.75">
      <c r="B47">
        <v>8164</v>
      </c>
      <c r="C47">
        <v>8424</v>
      </c>
      <c r="D47" s="90" t="s">
        <v>275</v>
      </c>
      <c r="F47">
        <f>IF(chooseyear=1,B47,C47)</f>
        <v>8424</v>
      </c>
      <c r="H47" s="90" t="s">
        <v>209</v>
      </c>
    </row>
    <row r="48" spans="1:4" ht="12.75">
      <c r="A48" t="s">
        <v>30</v>
      </c>
      <c r="B48">
        <v>866</v>
      </c>
      <c r="C48">
        <v>892</v>
      </c>
      <c r="D48" s="90" t="s">
        <v>280</v>
      </c>
    </row>
    <row r="49" ht="12.75">
      <c r="D49" s="90" t="s">
        <v>31</v>
      </c>
    </row>
    <row r="50" spans="2:8" ht="12.75">
      <c r="B50">
        <v>45000</v>
      </c>
      <c r="C50">
        <v>46350</v>
      </c>
      <c r="D50" s="90" t="s">
        <v>275</v>
      </c>
      <c r="F50">
        <f>IF(chooseyear=1,B50,C50)</f>
        <v>46350</v>
      </c>
      <c r="H50" s="90" t="s">
        <v>210</v>
      </c>
    </row>
    <row r="51" spans="1:3" ht="12.75">
      <c r="A51" t="s">
        <v>264</v>
      </c>
      <c r="B51">
        <v>0</v>
      </c>
      <c r="C51">
        <v>0</v>
      </c>
    </row>
    <row r="52" spans="2:3" ht="12.75">
      <c r="B52" t="s">
        <v>9</v>
      </c>
      <c r="C52" t="s">
        <v>9</v>
      </c>
    </row>
    <row r="53" spans="1:8" ht="12.75">
      <c r="A53" s="90" t="s">
        <v>284</v>
      </c>
      <c r="B53" s="4">
        <v>0.12</v>
      </c>
      <c r="C53" s="4">
        <v>0.12</v>
      </c>
      <c r="F53" s="14">
        <f>IF(chooseyear=1,B53,C53)</f>
        <v>0.12</v>
      </c>
      <c r="H53" s="90" t="s">
        <v>207</v>
      </c>
    </row>
    <row r="54" ht="12.75">
      <c r="F54" s="14"/>
    </row>
    <row r="55" spans="1:6" ht="12.75">
      <c r="A55" s="90" t="s">
        <v>285</v>
      </c>
      <c r="B55" s="4">
        <v>0.02</v>
      </c>
      <c r="C55" s="4">
        <v>0.02</v>
      </c>
      <c r="F55" s="14">
        <f>IF(chooseyear=1,B55,C55)</f>
        <v>0.02</v>
      </c>
    </row>
    <row r="57" spans="1:6" ht="12.75">
      <c r="A57" s="90" t="s">
        <v>319</v>
      </c>
      <c r="B57">
        <v>3000</v>
      </c>
      <c r="C57">
        <v>3000</v>
      </c>
      <c r="F57" s="6">
        <f>IF(chooseyear=1,B57,C57)</f>
        <v>3000</v>
      </c>
    </row>
    <row r="58" ht="12.75">
      <c r="A58" t="s">
        <v>53</v>
      </c>
    </row>
    <row r="59" spans="1:6" ht="12.75">
      <c r="A59" t="s">
        <v>265</v>
      </c>
      <c r="B59">
        <v>157</v>
      </c>
      <c r="C59">
        <v>162</v>
      </c>
      <c r="D59" s="90" t="s">
        <v>280</v>
      </c>
      <c r="F59">
        <f>IF(chooseyear=1,B59,C59)</f>
        <v>162</v>
      </c>
    </row>
    <row r="60" spans="1:8" ht="12.75">
      <c r="A60" s="90" t="s">
        <v>33</v>
      </c>
      <c r="B60">
        <v>8164</v>
      </c>
      <c r="C60">
        <v>8424</v>
      </c>
      <c r="D60" s="90" t="s">
        <v>32</v>
      </c>
      <c r="F60">
        <f>IF(chooseyear=1,B60,C60)</f>
        <v>8424</v>
      </c>
      <c r="H60" t="s">
        <v>286</v>
      </c>
    </row>
    <row r="63" spans="2:8" ht="12.75">
      <c r="B63" s="14">
        <v>0.138</v>
      </c>
      <c r="C63" s="14">
        <v>0.138</v>
      </c>
      <c r="F63" s="14">
        <f>IF(chooseyear=1,B63,C63)</f>
        <v>0.138</v>
      </c>
      <c r="H63" s="90" t="s">
        <v>208</v>
      </c>
    </row>
    <row r="65" ht="12.75">
      <c r="A65" t="s">
        <v>266</v>
      </c>
    </row>
    <row r="67" spans="1:6" ht="12.75">
      <c r="A67" t="s">
        <v>267</v>
      </c>
      <c r="B67">
        <v>6025</v>
      </c>
      <c r="C67">
        <v>6205</v>
      </c>
      <c r="F67">
        <f>IF(chooseyear=1,B67,C67)</f>
        <v>6205</v>
      </c>
    </row>
    <row r="69" spans="1:6" ht="12.75">
      <c r="A69" t="s">
        <v>268</v>
      </c>
      <c r="B69">
        <v>8164</v>
      </c>
      <c r="C69">
        <v>8424</v>
      </c>
      <c r="F69">
        <f>IF(chooseyear=1,B69,C69)</f>
        <v>8424</v>
      </c>
    </row>
    <row r="71" spans="1:6" ht="12.75">
      <c r="A71" t="s">
        <v>269</v>
      </c>
      <c r="B71">
        <v>45000</v>
      </c>
      <c r="C71">
        <v>46350</v>
      </c>
      <c r="F71">
        <f>IF(chooseyear=1,B71,C71)</f>
        <v>46350</v>
      </c>
    </row>
    <row r="73" spans="1:6" ht="12.75">
      <c r="A73" t="s">
        <v>270</v>
      </c>
      <c r="B73" s="6">
        <v>2.85</v>
      </c>
      <c r="C73" s="6">
        <v>2.95</v>
      </c>
      <c r="F73" s="6">
        <f>IF(chooseyear=1,B73,C73)</f>
        <v>2.95</v>
      </c>
    </row>
    <row r="74" spans="1:6" ht="12.75">
      <c r="A74" t="s">
        <v>32</v>
      </c>
      <c r="B74">
        <f>52*B73</f>
        <v>148.20000000000002</v>
      </c>
      <c r="C74">
        <f>52*C73</f>
        <v>153.4</v>
      </c>
      <c r="F74">
        <f>IF(chooseyear=1,B74,C74)</f>
        <v>153.4</v>
      </c>
    </row>
    <row r="76" spans="1:6" ht="12.75">
      <c r="A76" t="s">
        <v>271</v>
      </c>
      <c r="B76" s="4">
        <v>0.09</v>
      </c>
      <c r="C76" s="4">
        <v>0.09</v>
      </c>
      <c r="F76" s="14">
        <f>IF(chooseyear=1,B76,C76)</f>
        <v>0.09</v>
      </c>
    </row>
    <row r="78" spans="1:6" ht="12.75">
      <c r="A78" t="s">
        <v>272</v>
      </c>
      <c r="B78" s="4">
        <v>0.02</v>
      </c>
      <c r="C78" s="4">
        <v>0.02</v>
      </c>
      <c r="F78" s="14">
        <f>IF(chooseyear=1,B78,C78)</f>
        <v>0.02</v>
      </c>
    </row>
    <row r="81" ht="12.75">
      <c r="A81" s="90" t="s">
        <v>281</v>
      </c>
    </row>
    <row r="82" spans="1:3" ht="12.75">
      <c r="A82" t="s">
        <v>362</v>
      </c>
      <c r="B82" s="14">
        <v>0.075</v>
      </c>
      <c r="C82" s="14">
        <v>0.075</v>
      </c>
    </row>
    <row r="83" spans="1:6" ht="12.75">
      <c r="A83" s="90" t="s">
        <v>283</v>
      </c>
      <c r="B83" s="14">
        <v>0.325</v>
      </c>
      <c r="C83" s="14">
        <v>0.325</v>
      </c>
      <c r="D83" s="14"/>
      <c r="F83" s="14">
        <f>IF(chooseyear=1,B83,C83)</f>
        <v>0.325</v>
      </c>
    </row>
    <row r="84" spans="2:4" ht="12.75">
      <c r="B84" s="14"/>
      <c r="C84" s="14"/>
      <c r="D84" s="14"/>
    </row>
    <row r="85" spans="1:6" ht="12.75">
      <c r="A85" s="90" t="s">
        <v>282</v>
      </c>
      <c r="B85" s="192">
        <v>0.381</v>
      </c>
      <c r="C85" s="192">
        <v>0.381</v>
      </c>
      <c r="D85" s="14"/>
      <c r="F85" s="14">
        <f>IF(chooseyear=1,B85,C85)</f>
        <v>0.381</v>
      </c>
    </row>
    <row r="88" ht="12.75">
      <c r="A88" s="90" t="s">
        <v>19</v>
      </c>
    </row>
    <row r="89" spans="1:8" ht="12.75">
      <c r="A89" s="90" t="s">
        <v>290</v>
      </c>
      <c r="B89" s="14">
        <v>0.19</v>
      </c>
      <c r="C89" s="14">
        <v>0.19</v>
      </c>
      <c r="D89" s="14"/>
      <c r="E89" s="14"/>
      <c r="F89" s="14">
        <f>IF(chooseyear=1,B89,C89)</f>
        <v>0.19</v>
      </c>
      <c r="H89" s="90" t="s">
        <v>292</v>
      </c>
    </row>
    <row r="90" spans="1:8" ht="12.75">
      <c r="A90" s="90" t="s">
        <v>124</v>
      </c>
      <c r="B90" s="14">
        <v>0.19</v>
      </c>
      <c r="C90" s="14">
        <v>0.19</v>
      </c>
      <c r="D90" s="14"/>
      <c r="E90" s="14"/>
      <c r="F90" s="14">
        <f>IF(chooseyear=1,B90,C90)</f>
        <v>0.19</v>
      </c>
      <c r="H90" s="90" t="s">
        <v>293</v>
      </c>
    </row>
    <row r="91" spans="1:8" ht="12.75">
      <c r="A91" s="90" t="s">
        <v>291</v>
      </c>
      <c r="B91" s="14">
        <v>0.19</v>
      </c>
      <c r="C91" s="14">
        <v>0.19</v>
      </c>
      <c r="D91" s="14"/>
      <c r="E91" s="14"/>
      <c r="F91" s="14">
        <f>IF(chooseyear=1,B91,C91)</f>
        <v>0.19</v>
      </c>
      <c r="H91" s="90" t="s">
        <v>294</v>
      </c>
    </row>
    <row r="92" spans="2:6" ht="12.75">
      <c r="B92" s="192" t="s">
        <v>9</v>
      </c>
      <c r="C92" s="192" t="s">
        <v>9</v>
      </c>
      <c r="D92" s="14"/>
      <c r="E92" s="14"/>
      <c r="F92" s="14"/>
    </row>
    <row r="93" spans="1:6" ht="12.75">
      <c r="A93" t="s">
        <v>298</v>
      </c>
      <c r="B93" s="192">
        <v>0</v>
      </c>
      <c r="C93" s="192">
        <v>0</v>
      </c>
      <c r="F93" s="157">
        <f>IF(chooseyear=1,B93,C93)</f>
        <v>0</v>
      </c>
    </row>
    <row r="96" spans="1:6" ht="12.75">
      <c r="A96" s="90" t="s">
        <v>307</v>
      </c>
      <c r="B96">
        <v>11300</v>
      </c>
      <c r="C96">
        <v>11700</v>
      </c>
      <c r="F96">
        <f>IF(chooseyear=1,B96,C96)</f>
        <v>11700</v>
      </c>
    </row>
    <row r="99" spans="1:6" ht="12.75">
      <c r="A99" t="s">
        <v>354</v>
      </c>
      <c r="F99" s="14"/>
    </row>
    <row r="100" spans="1:6" ht="12.75">
      <c r="A100" s="90" t="s">
        <v>357</v>
      </c>
      <c r="B100" s="14">
        <v>0.075</v>
      </c>
      <c r="C100" s="14">
        <v>0.075</v>
      </c>
      <c r="F100" s="14">
        <f>IF(chooseyear=1,B100,C100)</f>
        <v>0.075</v>
      </c>
    </row>
    <row r="101" spans="1:6" ht="12.75">
      <c r="A101" s="90" t="s">
        <v>355</v>
      </c>
      <c r="B101" s="14">
        <v>0.325</v>
      </c>
      <c r="C101" s="14">
        <v>0.325</v>
      </c>
      <c r="F101" s="14">
        <f>IF(chooseyear=1,B101,C101)</f>
        <v>0.325</v>
      </c>
    </row>
    <row r="102" spans="1:6" ht="12.75">
      <c r="A102" s="90" t="s">
        <v>356</v>
      </c>
      <c r="B102" s="14">
        <v>0.381</v>
      </c>
      <c r="C102" s="14">
        <v>0.381</v>
      </c>
      <c r="F102" s="14">
        <f>IF(chooseyear=1,B102,C102)</f>
        <v>0.381</v>
      </c>
    </row>
    <row r="103" ht="12.75">
      <c r="F103" s="14"/>
    </row>
    <row r="104" spans="1:6" ht="12.75">
      <c r="A104" s="90" t="s">
        <v>358</v>
      </c>
      <c r="B104" s="151">
        <v>5000</v>
      </c>
      <c r="C104" s="151">
        <v>2000</v>
      </c>
      <c r="D104" s="151"/>
      <c r="E104" s="151"/>
      <c r="F104">
        <f>IF(chooseyear=1,B104,C104)</f>
        <v>2000</v>
      </c>
    </row>
    <row r="105" ht="12.75">
      <c r="F105" s="14"/>
    </row>
    <row r="106" ht="12.75">
      <c r="F106" s="14"/>
    </row>
    <row r="107" ht="12.75">
      <c r="F107" s="14"/>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tabColor rgb="FFFFC000"/>
  </sheetPr>
  <dimension ref="A3:C70"/>
  <sheetViews>
    <sheetView showGridLines="0" showRowColHeaders="0" showZeros="0" showOutlineSymbols="0" zoomScalePageLayoutView="0" workbookViewId="0" topLeftCell="A1">
      <selection activeCell="A3" sqref="A3"/>
    </sheetView>
  </sheetViews>
  <sheetFormatPr defaultColWidth="9.140625" defaultRowHeight="12.75"/>
  <cols>
    <col min="1" max="1" width="10.140625" style="0" customWidth="1"/>
    <col min="2" max="2" width="11.8515625" style="0" customWidth="1"/>
  </cols>
  <sheetData>
    <row r="2" ht="18.75" customHeight="1"/>
    <row r="3" spans="1:3" ht="18.75" customHeight="1">
      <c r="A3">
        <v>3</v>
      </c>
      <c r="B3" s="47">
        <v>40575</v>
      </c>
      <c r="C3" t="s">
        <v>289</v>
      </c>
    </row>
    <row r="4" spans="1:3" ht="18.75" customHeight="1">
      <c r="A4">
        <v>2.09</v>
      </c>
      <c r="B4" s="47">
        <v>40521</v>
      </c>
      <c r="C4" t="s">
        <v>287</v>
      </c>
    </row>
    <row r="5" spans="1:3" ht="18.75" customHeight="1">
      <c r="A5" s="90">
        <v>2.07</v>
      </c>
      <c r="B5" s="47">
        <v>40353</v>
      </c>
      <c r="C5" s="90" t="s">
        <v>251</v>
      </c>
    </row>
    <row r="6" spans="1:3" ht="18.75" customHeight="1">
      <c r="A6">
        <v>2</v>
      </c>
      <c r="B6" s="47">
        <v>40235</v>
      </c>
      <c r="C6" s="90" t="s">
        <v>241</v>
      </c>
    </row>
    <row r="7" spans="1:3" ht="18.75" customHeight="1">
      <c r="A7">
        <v>1.2</v>
      </c>
      <c r="B7" s="47">
        <v>40169</v>
      </c>
      <c r="C7" t="s">
        <v>237</v>
      </c>
    </row>
    <row r="8" spans="1:3" ht="18.75" customHeight="1">
      <c r="A8">
        <v>1.18</v>
      </c>
      <c r="B8" s="47">
        <v>40163</v>
      </c>
      <c r="C8" t="s">
        <v>236</v>
      </c>
    </row>
    <row r="9" spans="1:3" ht="18.75" customHeight="1">
      <c r="A9">
        <v>1.17</v>
      </c>
      <c r="B9" s="47">
        <v>39933</v>
      </c>
      <c r="C9" t="s">
        <v>9</v>
      </c>
    </row>
    <row r="10" spans="1:3" ht="18.75" customHeight="1">
      <c r="A10" t="s">
        <v>9</v>
      </c>
      <c r="B10" s="47" t="s">
        <v>9</v>
      </c>
      <c r="C10" t="s">
        <v>9</v>
      </c>
    </row>
    <row r="11" spans="1:3" ht="18.75" customHeight="1">
      <c r="A11" t="s">
        <v>9</v>
      </c>
      <c r="B11" s="47" t="s">
        <v>9</v>
      </c>
      <c r="C11" s="90" t="s">
        <v>187</v>
      </c>
    </row>
    <row r="12" spans="1:3" ht="18.75" customHeight="1">
      <c r="A12" t="s">
        <v>9</v>
      </c>
      <c r="B12" s="47" t="s">
        <v>9</v>
      </c>
      <c r="C12" s="47" t="s">
        <v>187</v>
      </c>
    </row>
    <row r="13" spans="1:3" ht="18.75" customHeight="1">
      <c r="A13" t="s">
        <v>9</v>
      </c>
      <c r="B13" s="47" t="s">
        <v>9</v>
      </c>
      <c r="C13" s="47" t="s">
        <v>9</v>
      </c>
    </row>
    <row r="14" ht="18.75" customHeight="1">
      <c r="B14" s="47"/>
    </row>
    <row r="15" ht="18.75" customHeight="1">
      <c r="B15" s="47"/>
    </row>
    <row r="16" ht="18.75" customHeight="1">
      <c r="B16" s="47"/>
    </row>
    <row r="17" ht="18.75" customHeight="1">
      <c r="A17" s="1"/>
    </row>
    <row r="18" spans="1:2" ht="12.75">
      <c r="A18" s="6"/>
      <c r="B18" s="47"/>
    </row>
    <row r="19" spans="1:2" ht="12.75">
      <c r="A19" s="6"/>
      <c r="B19" s="47"/>
    </row>
    <row r="20" spans="1:2" ht="12.75">
      <c r="A20" s="6"/>
      <c r="B20" s="47"/>
    </row>
    <row r="21" spans="1:2" ht="12.75">
      <c r="A21" s="6"/>
      <c r="B21" s="47"/>
    </row>
    <row r="22" ht="12.75">
      <c r="A22" s="6"/>
    </row>
    <row r="23" spans="1:2" ht="12.75">
      <c r="A23" s="6"/>
      <c r="B23" s="47"/>
    </row>
    <row r="25" ht="12.75">
      <c r="B25" s="47"/>
    </row>
    <row r="27" spans="1:2" ht="12.75">
      <c r="A27" s="6"/>
      <c r="B27" s="47"/>
    </row>
    <row r="29" spans="1:2" ht="12.75">
      <c r="A29" s="119"/>
      <c r="B29" s="47"/>
    </row>
    <row r="30" ht="12.75">
      <c r="B30" s="47"/>
    </row>
    <row r="32" spans="1:2" ht="12.75">
      <c r="A32" s="119"/>
      <c r="B32" s="47"/>
    </row>
    <row r="34" ht="12.75">
      <c r="B34" s="47"/>
    </row>
    <row r="36" ht="12.75">
      <c r="B36" s="47"/>
    </row>
    <row r="38" spans="1:2" ht="12.75">
      <c r="A38" s="119"/>
      <c r="B38" s="47"/>
    </row>
    <row r="39" ht="12.75">
      <c r="B39" s="47"/>
    </row>
    <row r="40" ht="12.75">
      <c r="B40" s="47"/>
    </row>
    <row r="41" ht="12.75">
      <c r="B41" s="47"/>
    </row>
    <row r="42" spans="1:2" ht="12.75">
      <c r="A42" s="155"/>
      <c r="B42" s="47"/>
    </row>
    <row r="43" spans="1:2" ht="12.75">
      <c r="A43" s="6"/>
      <c r="B43" s="47"/>
    </row>
    <row r="44" spans="1:2" ht="12.75">
      <c r="A44" s="6"/>
      <c r="B44" s="47"/>
    </row>
    <row r="47" ht="12.75">
      <c r="B47" s="47"/>
    </row>
    <row r="49" spans="1:2" ht="12.75">
      <c r="A49" s="119"/>
      <c r="B49" s="47"/>
    </row>
    <row r="51" spans="1:2" ht="12.75">
      <c r="A51" s="119"/>
      <c r="B51" s="47"/>
    </row>
    <row r="54" spans="1:2" ht="12.75">
      <c r="A54" s="119"/>
      <c r="B54" s="47"/>
    </row>
    <row r="57" spans="1:2" ht="12.75">
      <c r="A57" s="6"/>
      <c r="B57" s="47"/>
    </row>
    <row r="60" ht="12.75">
      <c r="B60" s="47"/>
    </row>
    <row r="63" spans="1:2" ht="12.75">
      <c r="A63" s="119"/>
      <c r="B63" s="47"/>
    </row>
    <row r="65" ht="12.75">
      <c r="B65" s="47"/>
    </row>
    <row r="67" ht="12.75">
      <c r="B67" s="47"/>
    </row>
    <row r="69" spans="1:2" ht="12.75">
      <c r="A69" s="119"/>
      <c r="B69" s="47"/>
    </row>
    <row r="70" ht="12.75">
      <c r="B70" s="47"/>
    </row>
  </sheetData>
  <sheetProtection/>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2">
    <tabColor rgb="FFFFC000"/>
    <pageSetUpPr fitToPage="1"/>
  </sheetPr>
  <dimension ref="A1:Z69"/>
  <sheetViews>
    <sheetView showGridLines="0" showRowColHeaders="0" showZeros="0" showOutlineSymbols="0" zoomScale="95" zoomScaleNormal="95" zoomScalePageLayoutView="0" workbookViewId="0" topLeftCell="A1">
      <selection activeCell="F4" sqref="F4"/>
    </sheetView>
  </sheetViews>
  <sheetFormatPr defaultColWidth="9.140625" defaultRowHeight="12.75"/>
  <cols>
    <col min="1" max="1" width="15.8515625" style="0" customWidth="1"/>
    <col min="6" max="6" width="12.7109375" style="0" bestFit="1" customWidth="1"/>
    <col min="7" max="7" width="10.00390625" style="0" customWidth="1"/>
    <col min="9" max="9" width="11.421875" style="0" bestFit="1" customWidth="1"/>
    <col min="13" max="15" width="9.140625" style="0" hidden="1" customWidth="1"/>
    <col min="16" max="16" width="3.140625" style="0" customWidth="1"/>
    <col min="20" max="20" width="9.7109375" style="0" customWidth="1"/>
    <col min="21" max="26" width="9.140625" style="0" hidden="1" customWidth="1"/>
    <col min="27" max="42" width="9.140625" style="0" customWidth="1"/>
  </cols>
  <sheetData>
    <row r="1" spans="12:16" ht="12.75">
      <c r="L1" s="47" t="s">
        <v>9</v>
      </c>
      <c r="P1" t="s">
        <v>9</v>
      </c>
    </row>
    <row r="2" spans="10:26" ht="12.75">
      <c r="J2" t="s">
        <v>9</v>
      </c>
      <c r="U2" s="9">
        <f>Front!$O$12</f>
        <v>2</v>
      </c>
      <c r="X2" s="9"/>
      <c r="Y2" s="9">
        <f>MAX(Y7:Y8)</f>
        <v>0</v>
      </c>
      <c r="Z2" s="9"/>
    </row>
    <row r="3" spans="1:26" ht="12.75">
      <c r="A3" t="s">
        <v>9</v>
      </c>
      <c r="K3" t="s">
        <v>9</v>
      </c>
      <c r="X3" s="9"/>
      <c r="Y3" s="9"/>
      <c r="Z3" s="9"/>
    </row>
    <row r="4" spans="1:26" ht="12.75">
      <c r="A4" s="48" t="s">
        <v>109</v>
      </c>
      <c r="X4" s="9"/>
      <c r="Y4" s="9"/>
      <c r="Z4" s="9"/>
    </row>
    <row r="5" spans="1:26" ht="12.75">
      <c r="A5" s="48" t="s">
        <v>106</v>
      </c>
      <c r="G5" t="s">
        <v>127</v>
      </c>
      <c r="K5" s="321" t="s">
        <v>195</v>
      </c>
      <c r="L5" s="322"/>
      <c r="M5" s="322"/>
      <c r="N5" s="322"/>
      <c r="O5" s="322"/>
      <c r="P5" s="323"/>
      <c r="X5" s="9"/>
      <c r="Y5" s="9"/>
      <c r="Z5" s="9"/>
    </row>
    <row r="6" spans="1:26" ht="24" customHeight="1">
      <c r="A6" s="324" t="s">
        <v>110</v>
      </c>
      <c r="B6" s="325"/>
      <c r="C6" s="325"/>
      <c r="D6" s="325"/>
      <c r="E6" s="325"/>
      <c r="F6" s="325"/>
      <c r="G6" s="325"/>
      <c r="I6" s="326" t="s">
        <v>164</v>
      </c>
      <c r="J6" s="326"/>
      <c r="K6" s="326"/>
      <c r="U6" s="9">
        <f>IF(V6=TRUE,1,0)</f>
        <v>0</v>
      </c>
      <c r="V6" s="9" t="b">
        <v>0</v>
      </c>
      <c r="X6" s="9"/>
      <c r="Y6" s="9"/>
      <c r="Z6" s="9"/>
    </row>
    <row r="7" spans="1:26" ht="15">
      <c r="A7" s="1" t="s">
        <v>41</v>
      </c>
      <c r="B7" s="90"/>
      <c r="C7" s="90"/>
      <c r="D7" s="90"/>
      <c r="E7" s="90"/>
      <c r="F7" s="95">
        <v>1</v>
      </c>
      <c r="G7" s="90"/>
      <c r="H7" s="90"/>
      <c r="I7" s="1" t="s">
        <v>136</v>
      </c>
      <c r="J7" s="3"/>
      <c r="K7" s="3"/>
      <c r="M7" s="82"/>
      <c r="P7" t="s">
        <v>9</v>
      </c>
      <c r="Q7" t="s">
        <v>163</v>
      </c>
      <c r="U7" s="9">
        <f>IF(V7=TRUE,1,0)</f>
        <v>0</v>
      </c>
      <c r="V7" s="9" t="b">
        <v>0</v>
      </c>
      <c r="X7" s="9" t="b">
        <v>0</v>
      </c>
      <c r="Y7" s="9">
        <f>IF(X7=TRUE,1,0)</f>
        <v>0</v>
      </c>
      <c r="Z7" s="9"/>
    </row>
    <row r="8" spans="1:26" ht="15" customHeight="1">
      <c r="A8" s="90"/>
      <c r="B8" s="90"/>
      <c r="C8" s="90"/>
      <c r="D8" s="90"/>
      <c r="E8" s="90"/>
      <c r="F8" s="3"/>
      <c r="G8" s="90"/>
      <c r="H8" s="158" t="s">
        <v>190</v>
      </c>
      <c r="I8" s="1" t="s">
        <v>231</v>
      </c>
      <c r="J8" s="3"/>
      <c r="K8" s="3"/>
      <c r="L8" s="3"/>
      <c r="Q8" s="90" t="s">
        <v>9</v>
      </c>
      <c r="R8" s="90" t="s">
        <v>9</v>
      </c>
      <c r="S8" s="90" t="s">
        <v>239</v>
      </c>
      <c r="U8" s="9">
        <f>IF(V8=TRUE,1,0)</f>
        <v>0</v>
      </c>
      <c r="V8" s="9" t="b">
        <v>0</v>
      </c>
      <c r="X8" s="9" t="b">
        <v>0</v>
      </c>
      <c r="Y8" s="9">
        <f>IF(X8=TRUE,2,0)</f>
        <v>0</v>
      </c>
      <c r="Z8" s="9"/>
    </row>
    <row r="9" spans="1:26" ht="15.75">
      <c r="A9" s="1" t="s">
        <v>4</v>
      </c>
      <c r="B9" s="90"/>
      <c r="C9" s="90" t="s">
        <v>107</v>
      </c>
      <c r="D9" s="90"/>
      <c r="E9" s="90"/>
      <c r="F9" s="115">
        <v>15000</v>
      </c>
      <c r="G9" t="s">
        <v>188</v>
      </c>
      <c r="H9" s="159">
        <v>0</v>
      </c>
      <c r="I9" s="1" t="s">
        <v>166</v>
      </c>
      <c r="J9" s="3"/>
      <c r="K9" s="3"/>
      <c r="L9" s="124">
        <v>1</v>
      </c>
      <c r="P9" t="s">
        <v>181</v>
      </c>
      <c r="U9" s="9" t="s">
        <v>9</v>
      </c>
      <c r="V9" s="9"/>
      <c r="X9" s="9"/>
      <c r="Y9" s="9"/>
      <c r="Z9" s="9"/>
    </row>
    <row r="10" spans="1:26" ht="15" customHeight="1" hidden="1">
      <c r="A10" s="90"/>
      <c r="B10" s="90"/>
      <c r="C10" s="90"/>
      <c r="D10" s="90"/>
      <c r="E10" s="90"/>
      <c r="F10" s="116"/>
      <c r="G10" s="90"/>
      <c r="H10" s="160"/>
      <c r="I10" s="90"/>
      <c r="J10" s="3"/>
      <c r="K10" s="3"/>
      <c r="L10" s="3"/>
      <c r="X10" s="9"/>
      <c r="Y10" s="9"/>
      <c r="Z10" s="9"/>
    </row>
    <row r="11" spans="1:26" ht="15" customHeight="1">
      <c r="A11" s="250" t="s">
        <v>133</v>
      </c>
      <c r="B11" s="251"/>
      <c r="C11" s="251"/>
      <c r="D11" s="251"/>
      <c r="E11" s="242"/>
      <c r="F11" s="243">
        <v>0</v>
      </c>
      <c r="G11" s="90" t="s">
        <v>189</v>
      </c>
      <c r="H11" s="161">
        <v>0</v>
      </c>
      <c r="I11" s="1" t="str">
        <f>IF(HRatepercent&gt;0,"Enter restriction of personal allowance if not 100%"," ")</f>
        <v> </v>
      </c>
      <c r="J11" s="3"/>
      <c r="K11" s="3"/>
      <c r="L11" s="3"/>
      <c r="S11" s="310">
        <f>IF(HRatepercent&gt;0,100%,0)</f>
        <v>0</v>
      </c>
      <c r="X11" s="9"/>
      <c r="Y11" s="9"/>
      <c r="Z11" s="9"/>
    </row>
    <row r="12" spans="1:12" ht="4.5" customHeight="1">
      <c r="A12" s="251"/>
      <c r="B12" s="251"/>
      <c r="C12" s="251"/>
      <c r="D12" s="251"/>
      <c r="E12" s="242"/>
      <c r="F12" s="244"/>
      <c r="G12" s="90"/>
      <c r="H12" s="90"/>
      <c r="I12" s="90"/>
      <c r="J12" s="3"/>
      <c r="K12" s="3"/>
      <c r="L12" s="3"/>
    </row>
    <row r="13" spans="1:12" ht="15">
      <c r="A13" s="250" t="s">
        <v>8</v>
      </c>
      <c r="B13" s="251"/>
      <c r="C13" s="251"/>
      <c r="D13" s="251"/>
      <c r="E13" s="242"/>
      <c r="F13" s="245"/>
      <c r="G13" s="90"/>
      <c r="H13" s="90" t="s">
        <v>119</v>
      </c>
      <c r="I13" s="90"/>
      <c r="J13" s="3"/>
      <c r="K13" s="3"/>
      <c r="L13" s="3"/>
    </row>
    <row r="14" spans="1:12" ht="15" customHeight="1">
      <c r="A14" s="87"/>
      <c r="B14" s="87"/>
      <c r="C14" s="87"/>
      <c r="D14" s="87"/>
      <c r="E14" s="246">
        <f>IF(retannuity&gt;salcombined,"WARNING -Retirement annuity relief should not exceed Salary","")</f>
      </c>
      <c r="F14" s="87"/>
      <c r="G14" s="3"/>
      <c r="H14" s="3"/>
      <c r="I14" s="3"/>
      <c r="J14" s="3"/>
      <c r="K14" s="3"/>
      <c r="L14" s="3"/>
    </row>
    <row r="15" spans="1:19" ht="3.75" customHeight="1">
      <c r="A15" s="84"/>
      <c r="B15" s="84"/>
      <c r="C15" s="84"/>
      <c r="D15" s="84"/>
      <c r="E15" s="84"/>
      <c r="F15" s="84"/>
      <c r="G15" s="84"/>
      <c r="H15" s="84"/>
      <c r="I15" s="84"/>
      <c r="J15" s="84"/>
      <c r="K15" s="84"/>
      <c r="L15" s="84"/>
      <c r="M15" s="12"/>
      <c r="N15" s="12"/>
      <c r="O15" s="12"/>
      <c r="P15" s="12"/>
      <c r="Q15" s="12"/>
      <c r="R15" s="12"/>
      <c r="S15" s="12"/>
    </row>
    <row r="16" spans="1:12" ht="15">
      <c r="A16" s="90" t="s">
        <v>108</v>
      </c>
      <c r="B16" s="3"/>
      <c r="C16" s="3"/>
      <c r="D16" s="3"/>
      <c r="E16" s="85" t="s">
        <v>38</v>
      </c>
      <c r="F16" s="97">
        <f>profit</f>
        <v>15000</v>
      </c>
      <c r="G16" s="3"/>
      <c r="H16" s="3"/>
      <c r="I16" s="3"/>
      <c r="J16" s="3"/>
      <c r="K16" s="3"/>
      <c r="L16" s="3"/>
    </row>
    <row r="17" spans="1:12" ht="4.5" customHeight="1">
      <c r="A17" s="90"/>
      <c r="B17" s="3"/>
      <c r="C17" s="3"/>
      <c r="D17" s="3"/>
      <c r="E17" s="3"/>
      <c r="F17" s="3"/>
      <c r="G17" s="3"/>
      <c r="H17" s="3"/>
      <c r="I17" s="3"/>
      <c r="J17" s="3"/>
      <c r="K17" s="3"/>
      <c r="L17" s="3"/>
    </row>
    <row r="18" spans="1:12" ht="15">
      <c r="A18" s="90" t="s">
        <v>36</v>
      </c>
      <c r="B18" s="3"/>
      <c r="C18" s="3"/>
      <c r="D18" s="3"/>
      <c r="E18" s="85" t="s">
        <v>37</v>
      </c>
      <c r="F18" s="74">
        <f>numberofparts</f>
        <v>1</v>
      </c>
      <c r="G18" s="3"/>
      <c r="H18" s="90" t="s">
        <v>370</v>
      </c>
      <c r="I18" s="3"/>
      <c r="J18" s="3"/>
      <c r="K18" s="87"/>
      <c r="L18" s="3"/>
    </row>
    <row r="19" spans="1:12" ht="4.5" customHeight="1">
      <c r="A19" s="90"/>
      <c r="B19" s="3"/>
      <c r="C19" s="3"/>
      <c r="D19" s="3"/>
      <c r="E19" s="3"/>
      <c r="F19" s="3"/>
      <c r="G19" s="3"/>
      <c r="H19" s="3"/>
      <c r="I19" s="3"/>
      <c r="J19" s="3"/>
      <c r="K19" s="3"/>
      <c r="L19" s="3"/>
    </row>
    <row r="20" spans="1:12" ht="15">
      <c r="A20" s="90" t="s">
        <v>39</v>
      </c>
      <c r="B20" s="3"/>
      <c r="C20" s="3"/>
      <c r="D20" s="3"/>
      <c r="E20" s="3"/>
      <c r="F20" s="3"/>
      <c r="G20" s="3"/>
      <c r="H20" s="3"/>
      <c r="I20" s="3"/>
      <c r="J20" s="3"/>
      <c r="K20" s="3"/>
      <c r="L20" s="3"/>
    </row>
    <row r="21" spans="1:12" ht="15" customHeight="1">
      <c r="A21" s="90" t="s">
        <v>40</v>
      </c>
      <c r="B21" s="3"/>
      <c r="C21" s="3"/>
      <c r="D21" s="3"/>
      <c r="E21" s="3"/>
      <c r="F21" s="3"/>
      <c r="G21" s="3"/>
      <c r="H21" s="3"/>
      <c r="I21" s="3"/>
      <c r="J21" s="3"/>
      <c r="K21" s="3"/>
      <c r="L21" s="3"/>
    </row>
    <row r="22" spans="1:12" ht="15" customHeight="1" hidden="1">
      <c r="A22" s="3"/>
      <c r="B22" s="3"/>
      <c r="C22" s="3"/>
      <c r="D22" s="3"/>
      <c r="E22" s="3"/>
      <c r="F22" s="3"/>
      <c r="G22" s="3"/>
      <c r="H22" s="3"/>
      <c r="I22" s="3"/>
      <c r="J22" s="3"/>
      <c r="K22" s="3"/>
      <c r="L22" s="3"/>
    </row>
    <row r="23" spans="1:12" ht="15" customHeight="1" hidden="1">
      <c r="A23" s="3"/>
      <c r="B23" s="3"/>
      <c r="C23" s="3"/>
      <c r="D23" s="3"/>
      <c r="E23" s="3"/>
      <c r="F23" s="3"/>
      <c r="G23" s="3"/>
      <c r="H23" s="3"/>
      <c r="I23" s="3"/>
      <c r="J23" s="3"/>
      <c r="K23" s="3"/>
      <c r="L23" s="3"/>
    </row>
    <row r="24" spans="1:12" ht="15" customHeight="1" hidden="1">
      <c r="A24" s="3"/>
      <c r="B24" s="3"/>
      <c r="C24" s="3"/>
      <c r="D24" s="3"/>
      <c r="E24" s="3"/>
      <c r="F24" s="3"/>
      <c r="G24" s="3"/>
      <c r="H24" s="3"/>
      <c r="I24" s="3"/>
      <c r="J24" s="3"/>
      <c r="K24" s="3"/>
      <c r="L24" s="3"/>
    </row>
    <row r="25" spans="1:20" ht="3.75" customHeight="1">
      <c r="A25" s="84"/>
      <c r="B25" s="84"/>
      <c r="C25" s="84"/>
      <c r="D25" s="84"/>
      <c r="E25" s="84"/>
      <c r="F25" s="84"/>
      <c r="G25" s="84"/>
      <c r="H25" s="84"/>
      <c r="I25" s="84"/>
      <c r="J25" s="84"/>
      <c r="K25" s="84"/>
      <c r="L25" s="84"/>
      <c r="M25" s="12"/>
      <c r="N25" s="12"/>
      <c r="O25" s="12"/>
      <c r="P25" s="12"/>
      <c r="Q25" s="12"/>
      <c r="R25" s="12"/>
      <c r="S25" s="12"/>
      <c r="T25" s="12"/>
    </row>
    <row r="26" spans="1:12" ht="15" customHeight="1" hidden="1">
      <c r="A26" s="3"/>
      <c r="B26" s="2" t="s">
        <v>22</v>
      </c>
      <c r="C26" s="3"/>
      <c r="D26" s="3"/>
      <c r="E26" s="3"/>
      <c r="F26" s="3"/>
      <c r="G26" s="3"/>
      <c r="H26" s="3"/>
      <c r="I26" s="3"/>
      <c r="J26" s="3"/>
      <c r="K26" s="3"/>
      <c r="L26" s="3"/>
    </row>
    <row r="27" spans="1:12" ht="15" customHeight="1" hidden="1">
      <c r="A27" s="3" t="s">
        <v>89</v>
      </c>
      <c r="B27" s="3"/>
      <c r="C27" s="3"/>
      <c r="D27" s="3"/>
      <c r="E27" s="3"/>
      <c r="F27" s="3"/>
      <c r="G27" s="3"/>
      <c r="H27" s="3"/>
      <c r="I27" s="3"/>
      <c r="J27" s="3"/>
      <c r="K27" s="3"/>
      <c r="L27" s="3"/>
    </row>
    <row r="28" spans="1:12" ht="15" customHeight="1" hidden="1">
      <c r="A28" s="3" t="s">
        <v>90</v>
      </c>
      <c r="B28" s="3"/>
      <c r="C28" s="3"/>
      <c r="D28" s="3"/>
      <c r="E28" s="3"/>
      <c r="F28" s="3"/>
      <c r="G28" s="3"/>
      <c r="H28" s="3"/>
      <c r="I28" s="3"/>
      <c r="J28" s="3"/>
      <c r="K28" s="3"/>
      <c r="L28" s="3"/>
    </row>
    <row r="29" spans="1:12" ht="15" customHeight="1" hidden="1">
      <c r="A29" s="3"/>
      <c r="B29" s="3"/>
      <c r="C29" s="3"/>
      <c r="D29" s="3"/>
      <c r="E29" s="3"/>
      <c r="F29" s="3"/>
      <c r="G29" s="3"/>
      <c r="H29" s="3"/>
      <c r="I29" s="3"/>
      <c r="J29" s="3"/>
      <c r="K29" s="3"/>
      <c r="L29" s="3"/>
    </row>
    <row r="30" spans="1:15" ht="15" customHeight="1" hidden="1">
      <c r="A30" s="3" t="s">
        <v>23</v>
      </c>
      <c r="B30" s="3"/>
      <c r="C30" s="3"/>
      <c r="D30" s="88"/>
      <c r="E30" s="3"/>
      <c r="F30" s="89">
        <f>IF(O30=1,M30,M31)</f>
        <v>0</v>
      </c>
      <c r="G30" s="3" t="s">
        <v>26</v>
      </c>
      <c r="H30" s="3"/>
      <c r="I30" s="83">
        <v>0</v>
      </c>
      <c r="J30" s="3"/>
      <c r="K30" s="3"/>
      <c r="L30" s="3"/>
      <c r="M30" s="9">
        <f>persallowance+pensioncont</f>
        <v>11850</v>
      </c>
      <c r="N30" t="s">
        <v>27</v>
      </c>
      <c r="O30" s="9">
        <v>2</v>
      </c>
    </row>
    <row r="31" spans="1:14" ht="15" customHeight="1" hidden="1">
      <c r="A31" s="3"/>
      <c r="B31" s="3"/>
      <c r="C31" s="3"/>
      <c r="D31" s="88"/>
      <c r="E31" s="3"/>
      <c r="F31" s="3"/>
      <c r="G31" s="3"/>
      <c r="H31" s="3"/>
      <c r="I31" s="3"/>
      <c r="J31" s="3"/>
      <c r="K31" s="3"/>
      <c r="L31" s="3"/>
      <c r="M31" s="9">
        <f>I30</f>
        <v>0</v>
      </c>
      <c r="N31" t="s">
        <v>28</v>
      </c>
    </row>
    <row r="32" spans="1:12" ht="15" customHeight="1" hidden="1">
      <c r="A32" s="3" t="s">
        <v>24</v>
      </c>
      <c r="B32" s="3"/>
      <c r="C32" s="3"/>
      <c r="D32" s="3"/>
      <c r="E32" s="3"/>
      <c r="F32" s="3"/>
      <c r="G32" s="3"/>
      <c r="H32" s="3"/>
      <c r="I32" s="3"/>
      <c r="J32" s="3"/>
      <c r="K32" s="3"/>
      <c r="L32" s="3"/>
    </row>
    <row r="33" spans="1:12" ht="15" customHeight="1" hidden="1">
      <c r="A33" s="3"/>
      <c r="B33" s="3"/>
      <c r="C33" s="3"/>
      <c r="D33" s="3"/>
      <c r="E33" s="3"/>
      <c r="F33" s="3"/>
      <c r="G33" s="3"/>
      <c r="H33" s="3"/>
      <c r="I33" s="3"/>
      <c r="J33" s="3"/>
      <c r="K33" s="3"/>
      <c r="L33" s="3"/>
    </row>
    <row r="34" spans="1:12" ht="15" customHeight="1" hidden="1">
      <c r="A34" s="3" t="s">
        <v>8</v>
      </c>
      <c r="B34" s="3"/>
      <c r="C34" s="3"/>
      <c r="D34" s="3"/>
      <c r="E34" s="3"/>
      <c r="F34" s="86">
        <f>pensioncont</f>
        <v>0</v>
      </c>
      <c r="G34" s="3"/>
      <c r="H34" s="3"/>
      <c r="I34" s="3"/>
      <c r="J34" s="3"/>
      <c r="K34" s="3"/>
      <c r="L34" s="3"/>
    </row>
    <row r="35" spans="1:12" ht="15" customHeight="1" hidden="1">
      <c r="A35" s="3" t="s">
        <v>25</v>
      </c>
      <c r="B35" s="3"/>
      <c r="C35" s="3"/>
      <c r="D35" s="3"/>
      <c r="E35" s="3"/>
      <c r="F35" s="3"/>
      <c r="G35" s="3"/>
      <c r="H35" s="3"/>
      <c r="I35" s="3"/>
      <c r="J35" s="3"/>
      <c r="K35" s="3"/>
      <c r="L35" s="3"/>
    </row>
    <row r="36" spans="1:12" ht="15" customHeight="1" hidden="1">
      <c r="A36" s="3"/>
      <c r="B36" s="3"/>
      <c r="C36" s="3"/>
      <c r="D36" s="3"/>
      <c r="E36" s="3"/>
      <c r="F36" s="3"/>
      <c r="G36" s="3"/>
      <c r="H36" s="3"/>
      <c r="I36" s="3"/>
      <c r="J36" s="3"/>
      <c r="K36" s="3"/>
      <c r="L36" s="3"/>
    </row>
    <row r="37" spans="1:20" ht="15" customHeight="1" hidden="1">
      <c r="A37" s="84"/>
      <c r="B37" s="84"/>
      <c r="C37" s="84"/>
      <c r="D37" s="84"/>
      <c r="E37" s="84"/>
      <c r="F37" s="84"/>
      <c r="G37" s="84"/>
      <c r="H37" s="84"/>
      <c r="I37" s="84"/>
      <c r="J37" s="84"/>
      <c r="K37" s="84"/>
      <c r="L37" s="84"/>
      <c r="M37" s="12"/>
      <c r="N37" s="12"/>
      <c r="O37" s="12"/>
      <c r="P37" s="12"/>
      <c r="Q37" s="12"/>
      <c r="R37" s="12"/>
      <c r="S37" s="12"/>
      <c r="T37" s="12"/>
    </row>
    <row r="38" spans="1:12" ht="15" customHeight="1">
      <c r="A38" s="3"/>
      <c r="B38" s="3"/>
      <c r="C38" s="3"/>
      <c r="D38" s="3"/>
      <c r="E38" s="3"/>
      <c r="F38" s="3"/>
      <c r="G38" s="3"/>
      <c r="H38" s="3"/>
      <c r="I38" s="3"/>
      <c r="J38" s="3"/>
      <c r="K38" s="3"/>
      <c r="L38" s="3"/>
    </row>
    <row r="39" spans="1:15" ht="15" customHeight="1">
      <c r="A39" s="90" t="s">
        <v>295</v>
      </c>
      <c r="B39" s="90"/>
      <c r="C39" s="90"/>
      <c r="D39" s="90"/>
      <c r="E39" s="3"/>
      <c r="F39" s="98">
        <f>IF(O39=1,M39,M40)</f>
        <v>0</v>
      </c>
      <c r="G39" s="90" t="s">
        <v>26</v>
      </c>
      <c r="H39" s="3"/>
      <c r="I39" s="96">
        <v>0</v>
      </c>
      <c r="J39" s="3"/>
      <c r="K39" s="3"/>
      <c r="L39" s="3"/>
      <c r="M39" s="9">
        <v>10000</v>
      </c>
      <c r="N39" t="s">
        <v>27</v>
      </c>
      <c r="O39" s="9">
        <v>2</v>
      </c>
    </row>
    <row r="40" spans="1:14" ht="15" customHeight="1">
      <c r="A40" s="1" t="s">
        <v>62</v>
      </c>
      <c r="B40" s="90"/>
      <c r="C40" s="90"/>
      <c r="D40" s="90"/>
      <c r="E40" s="3"/>
      <c r="F40" s="3"/>
      <c r="G40" s="3"/>
      <c r="H40" s="3"/>
      <c r="I40" s="3"/>
      <c r="J40" s="3"/>
      <c r="K40" s="3" t="s">
        <v>9</v>
      </c>
      <c r="L40" s="3"/>
      <c r="M40" s="16">
        <f>I39</f>
        <v>0</v>
      </c>
      <c r="N40" t="s">
        <v>28</v>
      </c>
    </row>
    <row r="41" spans="1:12" ht="15" customHeight="1">
      <c r="A41" s="90" t="s">
        <v>92</v>
      </c>
      <c r="B41" s="3"/>
      <c r="C41" s="3"/>
      <c r="D41" s="3"/>
      <c r="E41" s="3"/>
      <c r="F41" s="3"/>
      <c r="G41" s="3"/>
      <c r="H41" s="3"/>
      <c r="I41" s="3"/>
      <c r="J41" s="3"/>
      <c r="K41" s="99">
        <f>retainedprofitinco/numberofparts</f>
        <v>0</v>
      </c>
      <c r="L41" s="3"/>
    </row>
    <row r="42" spans="1:12" ht="15" customHeight="1">
      <c r="A42" s="156" t="s">
        <v>9</v>
      </c>
      <c r="B42" s="3"/>
      <c r="C42" s="3"/>
      <c r="D42" s="3"/>
      <c r="E42" s="3"/>
      <c r="F42" s="3"/>
      <c r="G42" s="3"/>
      <c r="H42" s="3"/>
      <c r="I42" s="3"/>
      <c r="J42" s="3"/>
      <c r="K42" s="3"/>
      <c r="L42" s="3"/>
    </row>
    <row r="43" spans="1:12" ht="15" customHeight="1">
      <c r="A43" s="90" t="s">
        <v>183</v>
      </c>
      <c r="B43" s="3"/>
      <c r="C43" s="3"/>
      <c r="D43" s="3"/>
      <c r="E43" s="3"/>
      <c r="F43" s="3"/>
      <c r="G43" s="3"/>
      <c r="H43" s="3"/>
      <c r="I43" s="3"/>
      <c r="J43" s="3"/>
      <c r="K43" s="3"/>
      <c r="L43" s="3"/>
    </row>
    <row r="44" spans="1:20" ht="15" customHeight="1">
      <c r="A44" s="84"/>
      <c r="B44" s="84"/>
      <c r="C44" s="84"/>
      <c r="D44" s="84"/>
      <c r="E44" s="84"/>
      <c r="F44" s="84"/>
      <c r="G44" s="84"/>
      <c r="H44" s="84"/>
      <c r="I44" s="84"/>
      <c r="J44" s="84"/>
      <c r="K44" s="84"/>
      <c r="L44" s="84"/>
      <c r="M44" s="12"/>
      <c r="N44" s="12"/>
      <c r="O44" s="12"/>
      <c r="P44" s="12"/>
      <c r="Q44" s="12"/>
      <c r="R44" s="12"/>
      <c r="S44" s="12"/>
      <c r="T44" s="12"/>
    </row>
    <row r="45" spans="1:12" ht="15" customHeight="1">
      <c r="A45" s="3"/>
      <c r="B45" s="3"/>
      <c r="C45" s="3"/>
      <c r="D45" s="3"/>
      <c r="E45" s="3"/>
      <c r="F45" s="3"/>
      <c r="G45" s="3"/>
      <c r="H45" s="3"/>
      <c r="I45" s="3"/>
      <c r="J45" s="3"/>
      <c r="K45" s="3"/>
      <c r="L45" s="3"/>
    </row>
    <row r="46" spans="1:12" ht="15" customHeight="1">
      <c r="A46" s="3"/>
      <c r="B46" s="3"/>
      <c r="C46" s="3"/>
      <c r="D46" s="3"/>
      <c r="E46" s="3"/>
      <c r="F46" s="3"/>
      <c r="G46" s="3"/>
      <c r="H46" s="3"/>
      <c r="I46" s="3"/>
      <c r="J46" s="3"/>
      <c r="K46" s="3"/>
      <c r="L46" s="3"/>
    </row>
    <row r="47" spans="1:15" ht="15" customHeight="1">
      <c r="A47" s="90" t="s">
        <v>87</v>
      </c>
      <c r="B47" s="3"/>
      <c r="C47" s="3"/>
      <c r="D47" s="3"/>
      <c r="E47" s="3"/>
      <c r="F47" s="97">
        <f>IF(O47=1,M47,M48)</f>
        <v>8424</v>
      </c>
      <c r="G47" s="90" t="s">
        <v>26</v>
      </c>
      <c r="H47" s="3"/>
      <c r="I47" s="96">
        <v>0</v>
      </c>
      <c r="J47" s="3"/>
      <c r="K47" s="3"/>
      <c r="L47" s="3"/>
      <c r="M47" s="9">
        <f>lelni</f>
        <v>8424</v>
      </c>
      <c r="N47" t="s">
        <v>27</v>
      </c>
      <c r="O47" s="9">
        <v>1</v>
      </c>
    </row>
    <row r="48" spans="1:14" ht="15">
      <c r="A48" s="90" t="s">
        <v>88</v>
      </c>
      <c r="B48" s="3"/>
      <c r="C48" s="3"/>
      <c r="D48" s="3"/>
      <c r="E48" s="3"/>
      <c r="F48" s="3"/>
      <c r="G48" s="3"/>
      <c r="H48" s="3"/>
      <c r="I48" s="3"/>
      <c r="J48" s="3"/>
      <c r="K48" s="3"/>
      <c r="L48" s="3"/>
      <c r="M48" s="279">
        <f>I47</f>
        <v>0</v>
      </c>
      <c r="N48" t="s">
        <v>28</v>
      </c>
    </row>
    <row r="49" spans="1:12" ht="4.5" customHeight="1">
      <c r="A49" s="3"/>
      <c r="B49" s="3"/>
      <c r="C49" s="3"/>
      <c r="D49" s="3"/>
      <c r="E49" s="3"/>
      <c r="F49" s="3"/>
      <c r="G49" s="3"/>
      <c r="H49" s="3"/>
      <c r="I49" s="3"/>
      <c r="J49" s="3"/>
      <c r="K49" s="3"/>
      <c r="L49" s="3"/>
    </row>
    <row r="50" spans="1:12" ht="4.5" customHeight="1">
      <c r="A50" s="3"/>
      <c r="B50" s="3"/>
      <c r="C50" s="3"/>
      <c r="D50" s="3"/>
      <c r="E50" s="3"/>
      <c r="F50" s="3"/>
      <c r="G50" s="3"/>
      <c r="H50" s="3"/>
      <c r="I50" s="3"/>
      <c r="J50" s="3"/>
      <c r="K50" s="3"/>
      <c r="L50" s="3"/>
    </row>
    <row r="51" spans="1:12" ht="12.75" customHeight="1">
      <c r="A51" s="90" t="s">
        <v>377</v>
      </c>
      <c r="B51" s="3"/>
      <c r="C51" s="3"/>
      <c r="D51" s="3"/>
      <c r="E51" s="3"/>
      <c r="F51" s="3"/>
      <c r="G51" s="3"/>
      <c r="H51" s="3"/>
      <c r="I51" s="3"/>
      <c r="J51" s="3"/>
      <c r="K51" s="3"/>
      <c r="L51" s="3"/>
    </row>
    <row r="52" spans="1:12" ht="12.75" customHeight="1">
      <c r="A52" s="90" t="s">
        <v>297</v>
      </c>
      <c r="B52" s="3"/>
      <c r="C52" s="3"/>
      <c r="D52" s="3"/>
      <c r="E52" s="90"/>
      <c r="F52" s="3"/>
      <c r="G52" s="3"/>
      <c r="H52" s="3"/>
      <c r="I52" s="3"/>
      <c r="J52" s="3"/>
      <c r="K52" s="90" t="s">
        <v>9</v>
      </c>
      <c r="L52" s="3"/>
    </row>
    <row r="53" spans="1:12" ht="12.75" customHeight="1">
      <c r="A53" s="90"/>
      <c r="B53" s="3"/>
      <c r="C53" s="3"/>
      <c r="D53" s="3"/>
      <c r="E53" s="3"/>
      <c r="F53" s="3"/>
      <c r="G53" s="3"/>
      <c r="H53" s="3"/>
      <c r="I53" s="3"/>
      <c r="J53" s="3"/>
      <c r="K53" s="90"/>
      <c r="L53" s="3"/>
    </row>
    <row r="54" spans="1:15" ht="12.75" customHeight="1">
      <c r="A54" s="327" t="s">
        <v>361</v>
      </c>
      <c r="B54" s="327"/>
      <c r="C54" s="327"/>
      <c r="D54" s="327"/>
      <c r="E54" s="327"/>
      <c r="F54" s="3"/>
      <c r="G54" s="3"/>
      <c r="I54" s="3"/>
      <c r="J54" s="3"/>
      <c r="K54" s="90"/>
      <c r="L54" s="3"/>
      <c r="M54">
        <v>3000</v>
      </c>
      <c r="N54" t="s">
        <v>27</v>
      </c>
      <c r="O54" s="9">
        <v>2</v>
      </c>
    </row>
    <row r="55" spans="1:14" ht="12.75" customHeight="1">
      <c r="A55" s="327"/>
      <c r="B55" s="327"/>
      <c r="C55" s="327"/>
      <c r="D55" s="327"/>
      <c r="E55" s="327"/>
      <c r="F55" s="3"/>
      <c r="G55" s="97">
        <f>IF(O54=1,M54,M55)</f>
        <v>0</v>
      </c>
      <c r="H55" s="90" t="s">
        <v>26</v>
      </c>
      <c r="I55" s="3"/>
      <c r="J55" s="96">
        <v>0</v>
      </c>
      <c r="K55" s="90"/>
      <c r="L55" s="3"/>
      <c r="M55" s="153">
        <f>J55</f>
        <v>0</v>
      </c>
      <c r="N55" t="s">
        <v>28</v>
      </c>
    </row>
    <row r="56" spans="1:12" ht="12.75" customHeight="1">
      <c r="A56" s="325"/>
      <c r="B56" s="325"/>
      <c r="C56" s="325"/>
      <c r="D56" s="325"/>
      <c r="E56" s="325"/>
      <c r="F56" s="3"/>
      <c r="G56" s="3"/>
      <c r="I56" s="3"/>
      <c r="J56" s="3"/>
      <c r="K56" s="90"/>
      <c r="L56" s="3"/>
    </row>
    <row r="57" spans="1:12" ht="12.75" customHeight="1">
      <c r="A57" s="328"/>
      <c r="B57" s="328"/>
      <c r="C57" s="328"/>
      <c r="D57" s="328"/>
      <c r="E57" s="328"/>
      <c r="F57" s="3"/>
      <c r="G57" s="3"/>
      <c r="I57" s="3"/>
      <c r="J57" s="3"/>
      <c r="K57" s="90"/>
      <c r="L57" s="3"/>
    </row>
    <row r="58" spans="1:21" ht="12.75" customHeight="1" hidden="1">
      <c r="A58" s="264" t="s">
        <v>246</v>
      </c>
      <c r="B58" s="3"/>
      <c r="C58" s="3"/>
      <c r="D58" s="3"/>
      <c r="E58" s="3"/>
      <c r="F58" s="3"/>
      <c r="G58" s="3"/>
      <c r="H58" s="90"/>
      <c r="I58" s="3"/>
      <c r="J58" s="3"/>
      <c r="K58" s="90"/>
      <c r="L58" s="3"/>
      <c r="U58" s="9" t="b">
        <v>0</v>
      </c>
    </row>
    <row r="59" spans="1:21" ht="12.75" customHeight="1">
      <c r="A59" s="264"/>
      <c r="B59" s="3"/>
      <c r="C59" s="3"/>
      <c r="D59" s="3"/>
      <c r="E59" s="3"/>
      <c r="F59" s="3"/>
      <c r="G59" s="3"/>
      <c r="H59" s="90"/>
      <c r="I59" s="3"/>
      <c r="J59" s="3"/>
      <c r="K59" s="90"/>
      <c r="L59" s="3"/>
      <c r="U59" s="9"/>
    </row>
    <row r="60" spans="1:21" ht="12.75" customHeight="1">
      <c r="A60" s="264"/>
      <c r="B60" s="3"/>
      <c r="C60" s="3"/>
      <c r="D60" s="3"/>
      <c r="E60" s="3"/>
      <c r="F60" s="3"/>
      <c r="G60" s="3"/>
      <c r="H60" s="90"/>
      <c r="I60" s="3"/>
      <c r="J60" s="3"/>
      <c r="K60" s="90"/>
      <c r="L60" s="3"/>
      <c r="U60" s="9"/>
    </row>
    <row r="61" spans="1:21" ht="12.75" customHeight="1">
      <c r="A61" s="264"/>
      <c r="B61" s="3"/>
      <c r="C61" s="3"/>
      <c r="D61" s="3"/>
      <c r="E61" s="3"/>
      <c r="F61" s="3"/>
      <c r="G61" s="3"/>
      <c r="H61" s="90"/>
      <c r="I61" s="3"/>
      <c r="J61" s="3"/>
      <c r="K61" s="90"/>
      <c r="L61" s="3"/>
      <c r="U61" s="9"/>
    </row>
    <row r="62" spans="1:21" ht="12.75" customHeight="1">
      <c r="A62" s="264"/>
      <c r="B62" s="3"/>
      <c r="C62" s="3"/>
      <c r="D62" s="3"/>
      <c r="E62" s="3"/>
      <c r="F62" s="3"/>
      <c r="G62" s="3"/>
      <c r="H62" s="90"/>
      <c r="I62" s="3"/>
      <c r="J62" s="3"/>
      <c r="K62" s="90"/>
      <c r="L62" s="3"/>
      <c r="U62" s="9"/>
    </row>
    <row r="63" spans="1:12" ht="12.75" customHeight="1">
      <c r="A63" s="263"/>
      <c r="B63" s="3"/>
      <c r="C63" s="3"/>
      <c r="D63" s="3"/>
      <c r="E63" s="3"/>
      <c r="F63" s="3"/>
      <c r="G63" s="3"/>
      <c r="I63" s="3"/>
      <c r="J63" s="3"/>
      <c r="K63" s="90"/>
      <c r="L63" s="3"/>
    </row>
    <row r="64" spans="1:20" ht="3.75" customHeight="1">
      <c r="A64" s="84"/>
      <c r="B64" s="84"/>
      <c r="C64" s="84"/>
      <c r="D64" s="84"/>
      <c r="E64" s="84"/>
      <c r="F64" s="84"/>
      <c r="G64" s="84"/>
      <c r="H64" s="84"/>
      <c r="I64" s="84"/>
      <c r="J64" s="84"/>
      <c r="K64" s="84"/>
      <c r="L64" s="84"/>
      <c r="M64" s="12"/>
      <c r="N64" s="12"/>
      <c r="O64" s="12"/>
      <c r="P64" s="12"/>
      <c r="Q64" s="12"/>
      <c r="R64" s="12"/>
      <c r="S64" s="12"/>
      <c r="T64" s="12"/>
    </row>
    <row r="65" spans="1:12" ht="15">
      <c r="A65" s="2" t="s">
        <v>93</v>
      </c>
      <c r="B65" s="3"/>
      <c r="C65" s="3"/>
      <c r="D65" s="3"/>
      <c r="E65" s="3"/>
      <c r="F65" s="3"/>
      <c r="G65" s="3"/>
      <c r="H65" s="3"/>
      <c r="I65" s="3"/>
      <c r="J65" s="3"/>
      <c r="K65" s="3"/>
      <c r="L65" s="3"/>
    </row>
    <row r="66" spans="1:12" ht="15">
      <c r="A66" s="2" t="s">
        <v>105</v>
      </c>
      <c r="B66" s="3"/>
      <c r="C66" s="3"/>
      <c r="D66" s="3"/>
      <c r="E66" s="3"/>
      <c r="F66" s="3"/>
      <c r="G66" s="3"/>
      <c r="H66" s="3"/>
      <c r="I66" s="3"/>
      <c r="J66" s="3"/>
      <c r="K66" s="3"/>
      <c r="L66" s="3"/>
    </row>
    <row r="67" spans="1:12" ht="15">
      <c r="A67" s="3" t="s">
        <v>94</v>
      </c>
      <c r="B67" s="3"/>
      <c r="C67" s="3"/>
      <c r="D67" s="3"/>
      <c r="E67" s="3"/>
      <c r="F67" s="3"/>
      <c r="G67" s="3"/>
      <c r="H67" s="3"/>
      <c r="I67" s="3"/>
      <c r="J67" s="3"/>
      <c r="K67" s="3"/>
      <c r="L67" s="3"/>
    </row>
    <row r="68" spans="1:12" ht="15">
      <c r="A68" s="3" t="s">
        <v>104</v>
      </c>
      <c r="B68" s="3"/>
      <c r="C68" s="3"/>
      <c r="D68" s="3"/>
      <c r="E68" s="3"/>
      <c r="F68" s="3"/>
      <c r="G68" s="3"/>
      <c r="H68" s="3"/>
      <c r="I68" s="3"/>
      <c r="J68" s="3"/>
      <c r="K68" s="3"/>
      <c r="L68" s="3"/>
    </row>
    <row r="69" spans="1:12" ht="15">
      <c r="A69" s="3"/>
      <c r="B69" s="3"/>
      <c r="C69" s="3"/>
      <c r="D69" s="3"/>
      <c r="E69" s="3"/>
      <c r="F69" s="3"/>
      <c r="G69" s="3"/>
      <c r="H69" s="3"/>
      <c r="I69" s="3"/>
      <c r="J69" s="3"/>
      <c r="K69" s="3"/>
      <c r="L69" s="3"/>
    </row>
  </sheetData>
  <sheetProtection/>
  <mergeCells count="4">
    <mergeCell ref="K5:P5"/>
    <mergeCell ref="A6:G6"/>
    <mergeCell ref="I6:K6"/>
    <mergeCell ref="A54:E57"/>
  </mergeCells>
  <conditionalFormatting sqref="S11">
    <cfRule type="cellIs" priority="1" dxfId="13" operator="greaterThan" stopIfTrue="1">
      <formula>0</formula>
    </cfRule>
  </conditionalFormatting>
  <dataValidations count="1">
    <dataValidation type="whole" operator="lessThanOrEqual" allowBlank="1" showInputMessage="1" showErrorMessage="1" sqref="F9">
      <formula1>U9</formula1>
    </dataValidation>
  </dataValidations>
  <printOptions/>
  <pageMargins left="0.75" right="0.75" top="1" bottom="1" header="0.5" footer="0.5"/>
  <pageSetup fitToHeight="1" fitToWidth="1" horizontalDpi="300" verticalDpi="300" orientation="landscape" paperSize="9" scale="87"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C5:P35"/>
  <sheetViews>
    <sheetView showGridLines="0" showRowColHeaders="0" zoomScalePageLayoutView="0" workbookViewId="0" topLeftCell="A1">
      <selection activeCell="C4" sqref="C4"/>
    </sheetView>
  </sheetViews>
  <sheetFormatPr defaultColWidth="9.140625" defaultRowHeight="12.75"/>
  <sheetData>
    <row r="5" ht="12.75">
      <c r="C5" s="90" t="s">
        <v>343</v>
      </c>
    </row>
    <row r="7" ht="12.75">
      <c r="C7" s="90" t="s">
        <v>323</v>
      </c>
    </row>
    <row r="9" ht="12.75">
      <c r="C9" s="90" t="s">
        <v>324</v>
      </c>
    </row>
    <row r="11" spans="4:9" ht="12.75">
      <c r="D11" s="90" t="s">
        <v>318</v>
      </c>
      <c r="I11" s="90" t="s">
        <v>329</v>
      </c>
    </row>
    <row r="12" spans="3:15" ht="12.75">
      <c r="C12" s="280" t="s">
        <v>4</v>
      </c>
      <c r="D12" s="280" t="s">
        <v>23</v>
      </c>
      <c r="E12" s="280" t="s">
        <v>326</v>
      </c>
      <c r="F12" s="280" t="s">
        <v>331</v>
      </c>
      <c r="G12" s="280"/>
      <c r="H12" s="281"/>
      <c r="I12" s="280" t="s">
        <v>4</v>
      </c>
      <c r="J12" s="280" t="s">
        <v>23</v>
      </c>
      <c r="K12" s="280" t="s">
        <v>326</v>
      </c>
      <c r="L12" s="280" t="s">
        <v>331</v>
      </c>
      <c r="M12" s="280"/>
      <c r="N12" s="282" t="s">
        <v>330</v>
      </c>
      <c r="O12" s="282" t="s">
        <v>0</v>
      </c>
    </row>
    <row r="13" spans="3:14" ht="12.75">
      <c r="C13" s="280" t="s">
        <v>325</v>
      </c>
      <c r="D13" s="281"/>
      <c r="E13" s="280" t="s">
        <v>327</v>
      </c>
      <c r="F13" s="281"/>
      <c r="G13" s="281"/>
      <c r="H13" s="281"/>
      <c r="I13" s="280" t="s">
        <v>325</v>
      </c>
      <c r="J13" s="281"/>
      <c r="K13" s="280" t="s">
        <v>327</v>
      </c>
      <c r="L13" s="281"/>
      <c r="M13" s="281"/>
      <c r="N13" s="90" t="s">
        <v>318</v>
      </c>
    </row>
    <row r="14" spans="5:14" ht="12.75">
      <c r="E14" s="90" t="s">
        <v>328</v>
      </c>
      <c r="K14" s="90"/>
      <c r="L14" s="90"/>
      <c r="M14" s="90"/>
      <c r="N14" s="90" t="s">
        <v>332</v>
      </c>
    </row>
    <row r="15" spans="3:16" ht="12.75">
      <c r="C15" s="287" t="s">
        <v>38</v>
      </c>
      <c r="D15" s="287" t="s">
        <v>37</v>
      </c>
      <c r="E15" s="287" t="s">
        <v>333</v>
      </c>
      <c r="F15" s="287" t="s">
        <v>334</v>
      </c>
      <c r="G15" s="287" t="s">
        <v>341</v>
      </c>
      <c r="H15" s="119"/>
      <c r="I15" s="287" t="s">
        <v>335</v>
      </c>
      <c r="J15" s="287" t="s">
        <v>336</v>
      </c>
      <c r="K15" s="287" t="s">
        <v>337</v>
      </c>
      <c r="L15" s="287" t="s">
        <v>338</v>
      </c>
      <c r="M15" s="287" t="s">
        <v>339</v>
      </c>
      <c r="N15" s="287" t="s">
        <v>340</v>
      </c>
      <c r="O15" s="287" t="s">
        <v>342</v>
      </c>
      <c r="P15" s="119"/>
    </row>
    <row r="16" spans="3:15" ht="12.75">
      <c r="C16">
        <v>10000</v>
      </c>
      <c r="D16">
        <v>7956</v>
      </c>
      <c r="E16" s="283">
        <v>9591.2</v>
      </c>
      <c r="F16" s="285">
        <v>9673.04</v>
      </c>
      <c r="G16" s="191">
        <f aca="true" t="shared" si="0" ref="G16:G29">E16-F16</f>
        <v>-81.84000000000015</v>
      </c>
      <c r="I16">
        <v>10000</v>
      </c>
      <c r="J16">
        <v>7696</v>
      </c>
      <c r="K16" s="283">
        <v>9539.2</v>
      </c>
      <c r="L16" s="285">
        <v>9545.55</v>
      </c>
      <c r="M16" s="6">
        <f>K16-L16</f>
        <v>-6.349999999998545</v>
      </c>
      <c r="N16" s="283">
        <f>E16-K16</f>
        <v>52</v>
      </c>
      <c r="O16" s="284">
        <f>F16-L16</f>
        <v>127.4900000000016</v>
      </c>
    </row>
    <row r="17" spans="3:15" ht="12.75">
      <c r="C17">
        <v>15000</v>
      </c>
      <c r="D17" s="90">
        <v>10000</v>
      </c>
      <c r="E17" s="283">
        <v>13754.72</v>
      </c>
      <c r="F17" s="285">
        <v>13223.04</v>
      </c>
      <c r="G17" s="191">
        <f t="shared" si="0"/>
        <v>531.6799999999985</v>
      </c>
      <c r="I17">
        <v>15000</v>
      </c>
      <c r="J17">
        <v>7696</v>
      </c>
      <c r="K17" s="283">
        <v>13539.2</v>
      </c>
      <c r="L17" s="285">
        <v>13095.55</v>
      </c>
      <c r="M17" s="6">
        <f aca="true" t="shared" si="1" ref="M17:M30">K17-L17</f>
        <v>443.65000000000146</v>
      </c>
      <c r="N17" s="283">
        <f aca="true" t="shared" si="2" ref="N17:N30">E17-K17</f>
        <v>215.51999999999862</v>
      </c>
      <c r="O17" s="284">
        <f aca="true" t="shared" si="3" ref="O17:O30">F17-L17</f>
        <v>127.4900000000016</v>
      </c>
    </row>
    <row r="18" spans="3:15" ht="12.75">
      <c r="C18">
        <v>20000</v>
      </c>
      <c r="D18" s="90">
        <v>10000</v>
      </c>
      <c r="E18" s="283">
        <v>17754.72</v>
      </c>
      <c r="F18" s="285">
        <v>16773.04</v>
      </c>
      <c r="G18" s="191">
        <f t="shared" si="0"/>
        <v>981.6800000000003</v>
      </c>
      <c r="I18">
        <v>20000</v>
      </c>
      <c r="J18">
        <v>7696</v>
      </c>
      <c r="K18" s="283">
        <v>17539.2</v>
      </c>
      <c r="L18" s="285">
        <v>16645.55</v>
      </c>
      <c r="M18" s="6">
        <f t="shared" si="1"/>
        <v>893.6500000000015</v>
      </c>
      <c r="N18" s="283">
        <f t="shared" si="2"/>
        <v>215.52000000000044</v>
      </c>
      <c r="O18" s="284">
        <f t="shared" si="3"/>
        <v>127.4900000000016</v>
      </c>
    </row>
    <row r="19" spans="3:15" ht="12.75">
      <c r="C19">
        <v>25000</v>
      </c>
      <c r="D19" s="90">
        <v>10000</v>
      </c>
      <c r="E19" s="283">
        <v>21754.72</v>
      </c>
      <c r="F19" s="285">
        <v>20323.04</v>
      </c>
      <c r="G19" s="191">
        <f t="shared" si="0"/>
        <v>1431.6800000000003</v>
      </c>
      <c r="I19">
        <v>25000</v>
      </c>
      <c r="J19">
        <v>7696</v>
      </c>
      <c r="K19" s="283">
        <v>21539.2</v>
      </c>
      <c r="L19" s="285">
        <v>20195.55</v>
      </c>
      <c r="M19" s="6">
        <f t="shared" si="1"/>
        <v>1343.6500000000015</v>
      </c>
      <c r="N19" s="283">
        <f t="shared" si="2"/>
        <v>215.52000000000044</v>
      </c>
      <c r="O19" s="284">
        <f t="shared" si="3"/>
        <v>127.4900000000016</v>
      </c>
    </row>
    <row r="20" spans="3:15" ht="12.75">
      <c r="C20">
        <v>30000</v>
      </c>
      <c r="D20" s="90">
        <v>10000</v>
      </c>
      <c r="E20" s="283">
        <v>25754.72</v>
      </c>
      <c r="F20" s="285">
        <v>23873.04</v>
      </c>
      <c r="G20" s="191">
        <f t="shared" si="0"/>
        <v>1881.6800000000003</v>
      </c>
      <c r="I20">
        <v>30000</v>
      </c>
      <c r="J20">
        <v>7696</v>
      </c>
      <c r="K20" s="283">
        <v>25539.2</v>
      </c>
      <c r="L20" s="285">
        <v>23745.55</v>
      </c>
      <c r="M20" s="6">
        <f t="shared" si="1"/>
        <v>1793.6500000000015</v>
      </c>
      <c r="N20" s="283">
        <f t="shared" si="2"/>
        <v>215.52000000000044</v>
      </c>
      <c r="O20" s="284">
        <f t="shared" si="3"/>
        <v>127.4900000000016</v>
      </c>
    </row>
    <row r="21" spans="3:15" ht="12.75">
      <c r="C21">
        <v>35000</v>
      </c>
      <c r="D21" s="90">
        <v>10000</v>
      </c>
      <c r="E21" s="283">
        <v>29754.72</v>
      </c>
      <c r="F21" s="285">
        <v>27423.04</v>
      </c>
      <c r="G21" s="191">
        <f t="shared" si="0"/>
        <v>2331.6800000000003</v>
      </c>
      <c r="I21">
        <v>35000</v>
      </c>
      <c r="J21">
        <v>7696</v>
      </c>
      <c r="K21" s="283">
        <v>29539.2</v>
      </c>
      <c r="L21" s="285">
        <v>27295.55</v>
      </c>
      <c r="M21" s="6">
        <f t="shared" si="1"/>
        <v>2243.6500000000015</v>
      </c>
      <c r="N21" s="283">
        <f t="shared" si="2"/>
        <v>215.52000000000044</v>
      </c>
      <c r="O21" s="284">
        <f t="shared" si="3"/>
        <v>127.4900000000016</v>
      </c>
    </row>
    <row r="22" spans="3:15" ht="12.75">
      <c r="C22">
        <v>40000</v>
      </c>
      <c r="D22" s="90">
        <v>10000</v>
      </c>
      <c r="E22" s="283">
        <v>33754.72</v>
      </c>
      <c r="F22" s="285">
        <v>30973.04</v>
      </c>
      <c r="G22" s="191">
        <f t="shared" si="0"/>
        <v>2781.6800000000003</v>
      </c>
      <c r="I22">
        <v>40000</v>
      </c>
      <c r="J22">
        <v>7696</v>
      </c>
      <c r="K22" s="283">
        <v>33539.2</v>
      </c>
      <c r="L22" s="285">
        <v>30845.55</v>
      </c>
      <c r="M22" s="6">
        <f t="shared" si="1"/>
        <v>2693.649999999998</v>
      </c>
      <c r="N22" s="283">
        <f t="shared" si="2"/>
        <v>215.52000000000407</v>
      </c>
      <c r="O22" s="284">
        <f t="shared" si="3"/>
        <v>127.4900000000016</v>
      </c>
    </row>
    <row r="23" spans="3:15" ht="12.75">
      <c r="C23">
        <v>50000</v>
      </c>
      <c r="D23" s="90">
        <v>10000</v>
      </c>
      <c r="E23" s="283">
        <v>40924.34</v>
      </c>
      <c r="F23" s="285">
        <v>37015.49</v>
      </c>
      <c r="G23" s="191">
        <f t="shared" si="0"/>
        <v>3908.8499999999985</v>
      </c>
      <c r="I23">
        <v>50000</v>
      </c>
      <c r="J23">
        <v>7696</v>
      </c>
      <c r="K23" s="283">
        <v>40673.05</v>
      </c>
      <c r="L23" s="285">
        <v>36834.05</v>
      </c>
      <c r="M23" s="6">
        <f t="shared" si="1"/>
        <v>3839</v>
      </c>
      <c r="N23" s="283">
        <f t="shared" si="2"/>
        <v>251.2899999999936</v>
      </c>
      <c r="O23" s="284">
        <f t="shared" si="3"/>
        <v>181.43999999999505</v>
      </c>
    </row>
    <row r="24" spans="3:15" ht="12.75">
      <c r="C24">
        <v>60000</v>
      </c>
      <c r="D24" s="90">
        <v>10000</v>
      </c>
      <c r="E24" s="283">
        <v>46924.35</v>
      </c>
      <c r="F24" s="285">
        <v>42815.49</v>
      </c>
      <c r="G24" s="191">
        <f t="shared" si="0"/>
        <v>4108.860000000001</v>
      </c>
      <c r="I24">
        <v>60000</v>
      </c>
      <c r="J24">
        <v>7696</v>
      </c>
      <c r="K24" s="283">
        <v>46673.05</v>
      </c>
      <c r="L24" s="285">
        <v>42634.05</v>
      </c>
      <c r="M24" s="6">
        <f t="shared" si="1"/>
        <v>4039</v>
      </c>
      <c r="N24" s="283">
        <f t="shared" si="2"/>
        <v>251.29999999999563</v>
      </c>
      <c r="O24" s="284">
        <f t="shared" si="3"/>
        <v>181.43999999999505</v>
      </c>
    </row>
    <row r="25" spans="3:15" ht="12.75">
      <c r="C25">
        <v>70000</v>
      </c>
      <c r="D25" s="90">
        <v>10000</v>
      </c>
      <c r="E25" s="283">
        <v>52924.35</v>
      </c>
      <c r="F25" s="285">
        <v>48615.49</v>
      </c>
      <c r="G25" s="191">
        <f t="shared" si="0"/>
        <v>4308.860000000001</v>
      </c>
      <c r="I25">
        <v>70000</v>
      </c>
      <c r="J25">
        <v>7696</v>
      </c>
      <c r="K25" s="283">
        <v>52673.05</v>
      </c>
      <c r="L25" s="285">
        <v>48434.05</v>
      </c>
      <c r="M25" s="6">
        <f t="shared" si="1"/>
        <v>4239</v>
      </c>
      <c r="N25" s="283">
        <f t="shared" si="2"/>
        <v>251.29999999999563</v>
      </c>
      <c r="O25" s="284">
        <f t="shared" si="3"/>
        <v>181.43999999999505</v>
      </c>
    </row>
    <row r="26" spans="3:15" ht="12.75">
      <c r="C26">
        <v>80000</v>
      </c>
      <c r="D26" s="90">
        <v>10000</v>
      </c>
      <c r="E26" s="283">
        <v>58924.35</v>
      </c>
      <c r="F26" s="285">
        <v>54415.49</v>
      </c>
      <c r="G26" s="191">
        <f t="shared" si="0"/>
        <v>4508.860000000001</v>
      </c>
      <c r="I26">
        <v>80000</v>
      </c>
      <c r="J26">
        <v>7696</v>
      </c>
      <c r="K26" s="283">
        <v>58563.05</v>
      </c>
      <c r="L26" s="285">
        <v>54234.05</v>
      </c>
      <c r="M26" s="6">
        <f t="shared" si="1"/>
        <v>4329</v>
      </c>
      <c r="N26" s="283">
        <f t="shared" si="2"/>
        <v>361.29999999999563</v>
      </c>
      <c r="O26" s="284">
        <f t="shared" si="3"/>
        <v>181.43999999999505</v>
      </c>
    </row>
    <row r="27" spans="3:15" ht="12.75">
      <c r="C27">
        <v>90000</v>
      </c>
      <c r="D27" s="90">
        <v>10000</v>
      </c>
      <c r="E27" s="283">
        <v>64924.35</v>
      </c>
      <c r="F27" s="285">
        <v>60215.49</v>
      </c>
      <c r="G27" s="191">
        <f t="shared" si="0"/>
        <v>4708.860000000001</v>
      </c>
      <c r="I27">
        <v>90000</v>
      </c>
      <c r="J27">
        <v>7696</v>
      </c>
      <c r="K27" s="283">
        <v>64673.05</v>
      </c>
      <c r="L27" s="285">
        <v>60034.05</v>
      </c>
      <c r="M27" s="6">
        <f t="shared" si="1"/>
        <v>4639</v>
      </c>
      <c r="N27" s="283">
        <f t="shared" si="2"/>
        <v>251.29999999999563</v>
      </c>
      <c r="O27" s="284">
        <f t="shared" si="3"/>
        <v>181.43999999999505</v>
      </c>
    </row>
    <row r="28" spans="3:15" ht="12.75">
      <c r="C28">
        <v>100000</v>
      </c>
      <c r="D28" s="90">
        <v>10000</v>
      </c>
      <c r="E28" s="283">
        <v>70924.35</v>
      </c>
      <c r="F28" s="285">
        <v>66015.49</v>
      </c>
      <c r="G28" s="191">
        <f t="shared" si="0"/>
        <v>4908.860000000001</v>
      </c>
      <c r="I28">
        <v>100000</v>
      </c>
      <c r="J28">
        <v>7696</v>
      </c>
      <c r="K28" s="283">
        <v>70673.05</v>
      </c>
      <c r="L28" s="285">
        <v>65834.05</v>
      </c>
      <c r="M28" s="6">
        <f t="shared" si="1"/>
        <v>4839</v>
      </c>
      <c r="N28" s="283">
        <f t="shared" si="2"/>
        <v>251.3000000000029</v>
      </c>
      <c r="O28" s="284">
        <f t="shared" si="3"/>
        <v>181.44000000000233</v>
      </c>
    </row>
    <row r="29" spans="3:15" ht="12.75">
      <c r="C29">
        <v>125000</v>
      </c>
      <c r="D29" s="90">
        <v>10000</v>
      </c>
      <c r="E29" s="283">
        <v>83327.17</v>
      </c>
      <c r="F29" s="285">
        <v>76515.49</v>
      </c>
      <c r="G29" s="191">
        <f t="shared" si="0"/>
        <v>6811.679999999993</v>
      </c>
      <c r="I29">
        <v>125000</v>
      </c>
      <c r="J29">
        <v>7696</v>
      </c>
      <c r="K29" s="283">
        <v>83479.08</v>
      </c>
      <c r="L29" s="285">
        <v>76558.05</v>
      </c>
      <c r="M29" s="6">
        <f t="shared" si="1"/>
        <v>6921.029999999999</v>
      </c>
      <c r="N29" s="283">
        <f t="shared" si="2"/>
        <v>-151.9100000000035</v>
      </c>
      <c r="O29" s="284">
        <f t="shared" si="3"/>
        <v>-42.55999999999767</v>
      </c>
    </row>
    <row r="30" spans="3:15" ht="12.75">
      <c r="C30">
        <v>150000</v>
      </c>
      <c r="D30" s="90">
        <v>10000</v>
      </c>
      <c r="E30" s="283">
        <v>96674.35</v>
      </c>
      <c r="F30" s="285">
        <v>91015.49</v>
      </c>
      <c r="G30" s="191">
        <f>E30-F30</f>
        <v>5658.860000000001</v>
      </c>
      <c r="I30">
        <v>150000</v>
      </c>
      <c r="J30">
        <v>7696</v>
      </c>
      <c r="K30" s="283">
        <v>97009.85</v>
      </c>
      <c r="L30" s="285">
        <v>91058.05</v>
      </c>
      <c r="M30" s="6">
        <f t="shared" si="1"/>
        <v>5951.800000000003</v>
      </c>
      <c r="N30" s="283">
        <f t="shared" si="2"/>
        <v>-335.5</v>
      </c>
      <c r="O30" s="284">
        <f t="shared" si="3"/>
        <v>-42.55999999999767</v>
      </c>
    </row>
    <row r="31" spans="5:11" ht="12.75">
      <c r="E31" s="6"/>
      <c r="K31" s="6"/>
    </row>
    <row r="32" ht="12.75">
      <c r="K32" s="6"/>
    </row>
    <row r="35" ht="12.75">
      <c r="C35" s="90"/>
    </row>
  </sheetData>
  <sheetProtection password="EEC4" sheet="1" objects="1" scenarios="1"/>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6">
    <tabColor rgb="FFFFC000"/>
    <pageSetUpPr fitToPage="1"/>
  </sheetPr>
  <dimension ref="B3:N35"/>
  <sheetViews>
    <sheetView showGridLines="0" showRowColHeaders="0" showZeros="0" showOutlineSymbols="0" zoomScalePageLayoutView="0" workbookViewId="0" topLeftCell="A1">
      <selection activeCell="A2" sqref="A2"/>
    </sheetView>
  </sheetViews>
  <sheetFormatPr defaultColWidth="9.140625" defaultRowHeight="12.75"/>
  <cols>
    <col min="3" max="3" width="5.421875" style="0" customWidth="1"/>
    <col min="4" max="4" width="3.7109375" style="0" customWidth="1"/>
    <col min="6" max="6" width="38.28125" style="0" customWidth="1"/>
    <col min="7" max="8" width="12.7109375" style="30" customWidth="1"/>
    <col min="13" max="14" width="9.140625" style="0" hidden="1" customWidth="1"/>
  </cols>
  <sheetData>
    <row r="3" ht="12.75">
      <c r="K3" t="s">
        <v>9</v>
      </c>
    </row>
    <row r="4" spans="2:6" ht="12.75">
      <c r="B4" s="150" t="s">
        <v>182</v>
      </c>
      <c r="C4" s="150"/>
      <c r="D4" s="150"/>
      <c r="E4" s="150"/>
      <c r="F4" s="150"/>
    </row>
    <row r="5" spans="2:14" ht="19.5" customHeight="1" hidden="1">
      <c r="B5" t="s">
        <v>141</v>
      </c>
      <c r="M5" s="9" t="b">
        <v>0</v>
      </c>
      <c r="N5" s="9">
        <f>IF(M5=FALSE,0,1)</f>
        <v>0</v>
      </c>
    </row>
    <row r="6" spans="2:11" ht="12.75">
      <c r="B6" s="48"/>
      <c r="K6" t="s">
        <v>9</v>
      </c>
    </row>
    <row r="7" spans="2:8" ht="12.75">
      <c r="B7" s="1" t="s">
        <v>111</v>
      </c>
      <c r="C7" s="1"/>
      <c r="F7" s="107" t="str">
        <f>Input!$K$5</f>
        <v>NEWCO</v>
      </c>
      <c r="G7"/>
      <c r="H7"/>
    </row>
    <row r="9" ht="12.75">
      <c r="B9" t="str">
        <f>IF(MAXCALC=0,"Years 1-5","Years 1-6")</f>
        <v>Years 1-5</v>
      </c>
    </row>
    <row r="10" spans="2:7" ht="12.75">
      <c r="B10" t="str">
        <f>IF(divroutenet&gt;saldivnet,"Available via Dividend Route","Available via Salary/Dividend Route")</f>
        <v>Available via Salary/Dividend Route</v>
      </c>
      <c r="G10" s="91">
        <f>IF(divroutenet&gt;saldivnet,divroutenet,saldivnet)</f>
        <v>13750.56</v>
      </c>
    </row>
    <row r="11" ht="4.5" customHeight="1">
      <c r="G11" s="30">
        <v>0</v>
      </c>
    </row>
    <row r="12" spans="2:7" ht="12.75">
      <c r="B12" t="s">
        <v>115</v>
      </c>
      <c r="G12" s="91">
        <f>Summary!$D$37</f>
        <v>13624.76</v>
      </c>
    </row>
    <row r="13" ht="4.5" customHeight="1"/>
    <row r="14" spans="2:7" ht="12.75">
      <c r="B14" t="s">
        <v>112</v>
      </c>
      <c r="G14" s="30">
        <f>+G10-G12</f>
        <v>125.79999999999927</v>
      </c>
    </row>
    <row r="16" spans="2:8" ht="12.75">
      <c r="B16" t="s">
        <v>113</v>
      </c>
      <c r="D16">
        <f>IF(MAXCALC=0,5,6)</f>
        <v>5</v>
      </c>
      <c r="E16" t="s">
        <v>114</v>
      </c>
      <c r="F16" t="s">
        <v>9</v>
      </c>
      <c r="H16" s="94">
        <f>D16*G14</f>
        <v>628.9999999999964</v>
      </c>
    </row>
    <row r="18" ht="4.5" customHeight="1"/>
    <row r="19" spans="2:8" ht="12.75">
      <c r="B19" t="s">
        <v>116</v>
      </c>
      <c r="D19">
        <v>5</v>
      </c>
      <c r="E19" t="s">
        <v>117</v>
      </c>
      <c r="H19" s="92">
        <f>SUM(H16:H18)</f>
        <v>628.9999999999964</v>
      </c>
    </row>
    <row r="20" ht="13.5" customHeight="1">
      <c r="H20" s="108"/>
    </row>
    <row r="21" ht="12.75" hidden="1"/>
    <row r="22" ht="12.75" hidden="1"/>
    <row r="23" spans="2:8" ht="12.75">
      <c r="B23" t="s">
        <v>116</v>
      </c>
      <c r="D23">
        <v>5</v>
      </c>
      <c r="E23" t="s">
        <v>118</v>
      </c>
      <c r="H23" s="93">
        <f>H19*numberofparts</f>
        <v>628.9999999999964</v>
      </c>
    </row>
    <row r="24" ht="12.75">
      <c r="H24"/>
    </row>
    <row r="25" spans="2:8" ht="12.75">
      <c r="B25" t="s">
        <v>129</v>
      </c>
      <c r="G25" s="122">
        <v>515</v>
      </c>
      <c r="H25"/>
    </row>
    <row r="26" ht="12.75">
      <c r="B26" t="s">
        <v>128</v>
      </c>
    </row>
    <row r="28" spans="2:8" ht="12.75">
      <c r="B28" t="s">
        <v>196</v>
      </c>
      <c r="H28" s="30">
        <f>+G25*5</f>
        <v>2575</v>
      </c>
    </row>
    <row r="30" spans="2:8" ht="13.5" thickBot="1">
      <c r="B30" t="s">
        <v>197</v>
      </c>
      <c r="H30" s="109">
        <f>+H23-H28</f>
        <v>-1946.0000000000036</v>
      </c>
    </row>
    <row r="31" ht="13.5" thickTop="1"/>
    <row r="35" ht="12.75">
      <c r="B35" s="90"/>
    </row>
  </sheetData>
  <sheetProtection/>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2"/>
  <legacyDrawing r:id="rId1"/>
</worksheet>
</file>

<file path=xl/worksheets/sheet6.xml><?xml version="1.0" encoding="utf-8"?>
<worksheet xmlns="http://schemas.openxmlformats.org/spreadsheetml/2006/main" xmlns:r="http://schemas.openxmlformats.org/officeDocument/2006/relationships">
  <sheetPr codeName="Sheet3">
    <tabColor rgb="FFFFFF00"/>
    <pageSetUpPr fitToPage="1"/>
  </sheetPr>
  <dimension ref="B2:AJ181"/>
  <sheetViews>
    <sheetView showGridLines="0" showRowColHeaders="0" showZeros="0" showOutlineSymbols="0" zoomScalePageLayoutView="0" workbookViewId="0" topLeftCell="A2">
      <selection activeCell="K25" sqref="K25"/>
    </sheetView>
  </sheetViews>
  <sheetFormatPr defaultColWidth="9.140625" defaultRowHeight="12.75"/>
  <cols>
    <col min="1" max="1" width="2.140625" style="0" customWidth="1"/>
    <col min="2" max="2" width="13.421875" style="0" customWidth="1"/>
    <col min="3" max="3" width="33.57421875" style="0" customWidth="1"/>
    <col min="4" max="4" width="17.8515625" style="0" customWidth="1"/>
    <col min="5" max="5" width="2.7109375" style="0" customWidth="1"/>
    <col min="6" max="6" width="15.00390625" style="0" customWidth="1"/>
    <col min="7" max="7" width="15.7109375" style="0" customWidth="1"/>
    <col min="8" max="8" width="2.7109375" style="0" customWidth="1"/>
    <col min="9" max="9" width="15.7109375" style="0" customWidth="1"/>
    <col min="10" max="10" width="2.7109375" style="0" customWidth="1"/>
    <col min="11" max="11" width="14.140625" style="18" customWidth="1"/>
    <col min="12" max="12" width="15.7109375" style="0" customWidth="1"/>
    <col min="13" max="13" width="6.00390625" style="0" customWidth="1"/>
    <col min="14" max="14" width="11.57421875" style="0" customWidth="1"/>
    <col min="17" max="17" width="12.7109375" style="0" customWidth="1"/>
    <col min="18" max="18" width="19.8515625" style="0" customWidth="1"/>
    <col min="20" max="20" width="11.57421875" style="0" customWidth="1"/>
    <col min="25" max="25" width="21.7109375" style="0" customWidth="1"/>
    <col min="27" max="27" width="10.00390625" style="0" customWidth="1"/>
    <col min="29" max="29" width="13.28125" style="6" customWidth="1"/>
    <col min="30" max="30" width="9.140625" style="6" customWidth="1"/>
    <col min="31" max="31" width="12.140625" style="6" customWidth="1"/>
    <col min="32" max="32" width="9.140625" style="6" customWidth="1"/>
    <col min="33" max="33" width="14.00390625" style="0" customWidth="1"/>
  </cols>
  <sheetData>
    <row r="1" ht="15" hidden="1"/>
    <row r="2" spans="6:26" ht="15">
      <c r="F2" t="s">
        <v>9</v>
      </c>
      <c r="G2" s="47"/>
      <c r="W2" s="163">
        <f>Input!$U$6</f>
        <v>0</v>
      </c>
      <c r="Z2" s="9">
        <f>IF(AA2=TRUE,1,0)</f>
        <v>0</v>
      </c>
    </row>
    <row r="3" ht="15"/>
    <row r="4" ht="4.5" customHeight="1"/>
    <row r="5" ht="15"/>
    <row r="6" spans="2:31" ht="22.5">
      <c r="B6" s="120" t="s">
        <v>142</v>
      </c>
      <c r="C6" s="121"/>
      <c r="D6" s="121"/>
      <c r="F6" s="1" t="s">
        <v>379</v>
      </c>
      <c r="I6" s="107" t="str">
        <f>Input!$K$5</f>
        <v>NEWCO</v>
      </c>
      <c r="AC6"/>
      <c r="AD6"/>
      <c r="AE6"/>
    </row>
    <row r="7" spans="2:31" ht="18">
      <c r="B7" s="50"/>
      <c r="F7" s="329" t="s">
        <v>50</v>
      </c>
      <c r="G7" s="328"/>
      <c r="H7" s="328"/>
      <c r="I7" s="328"/>
      <c r="J7" s="328"/>
      <c r="K7" s="328"/>
      <c r="L7" s="328"/>
      <c r="AC7"/>
      <c r="AD7"/>
      <c r="AE7"/>
    </row>
    <row r="8" spans="2:31" ht="15.75">
      <c r="B8" s="2"/>
      <c r="C8" s="3"/>
      <c r="D8" s="78" t="s">
        <v>0</v>
      </c>
      <c r="E8" s="10"/>
      <c r="F8" s="330" t="s">
        <v>1</v>
      </c>
      <c r="G8" s="331"/>
      <c r="H8" s="10"/>
      <c r="I8" s="78" t="s">
        <v>3</v>
      </c>
      <c r="J8" s="19"/>
      <c r="K8" s="330" t="s">
        <v>69</v>
      </c>
      <c r="L8" s="334"/>
      <c r="AC8"/>
      <c r="AD8"/>
      <c r="AE8"/>
    </row>
    <row r="9" spans="2:31" ht="15.75">
      <c r="B9" s="50"/>
      <c r="C9" s="3"/>
      <c r="D9" s="79"/>
      <c r="E9" s="10"/>
      <c r="F9" s="332" t="s">
        <v>2</v>
      </c>
      <c r="G9" s="333"/>
      <c r="H9" s="10"/>
      <c r="I9" s="80" t="s">
        <v>2</v>
      </c>
      <c r="J9" s="19"/>
      <c r="K9" s="332" t="s">
        <v>46</v>
      </c>
      <c r="L9" s="335"/>
      <c r="AC9"/>
      <c r="AD9"/>
      <c r="AE9"/>
    </row>
    <row r="10" spans="2:33" ht="15.75">
      <c r="B10" s="10" t="str">
        <f>IF(Addbacks&gt;0,"Profits (inc Addbacks)","Profit")</f>
        <v>Profit</v>
      </c>
      <c r="C10" s="3">
        <f>IF(goodwilldeductible=1,"Goodwill adjusted in company","")</f>
      </c>
      <c r="D10" s="20">
        <f>profit+Addbacks</f>
        <v>15000</v>
      </c>
      <c r="E10" s="21"/>
      <c r="F10" s="22"/>
      <c r="G10" s="23">
        <f>IF(goodwilldeductible=1,ctaxprofit-goodwillperpartner,ctaxprofit)</f>
        <v>15000</v>
      </c>
      <c r="H10" s="21"/>
      <c r="I10" s="20">
        <f>IF(goodwilldeductible=1,ctaxprofit-goodwillperpartner,ctaxprofit)</f>
        <v>15000</v>
      </c>
      <c r="J10" s="24"/>
      <c r="K10" s="25"/>
      <c r="L10" s="23">
        <f>IF(goodwilldeductible=1,ctaxprofit-goodwillperpartner,ctaxprofit)</f>
        <v>15000</v>
      </c>
      <c r="AC10"/>
      <c r="AD10"/>
      <c r="AE10"/>
      <c r="AF10"/>
      <c r="AG10" s="6"/>
    </row>
    <row r="11" spans="2:33" ht="4.5" customHeight="1">
      <c r="B11" s="10"/>
      <c r="C11" s="3"/>
      <c r="D11" s="20"/>
      <c r="E11" s="21"/>
      <c r="F11" s="22"/>
      <c r="G11" s="23"/>
      <c r="H11" s="21"/>
      <c r="I11" s="20"/>
      <c r="J11" s="24"/>
      <c r="K11" s="25"/>
      <c r="L11" s="26"/>
      <c r="AC11"/>
      <c r="AD11"/>
      <c r="AE11"/>
      <c r="AF11"/>
      <c r="AG11" s="6"/>
    </row>
    <row r="12" spans="2:33" ht="15.75">
      <c r="B12" s="10" t="s">
        <v>1</v>
      </c>
      <c r="C12" s="3"/>
      <c r="D12" s="20"/>
      <c r="E12" s="21"/>
      <c r="F12" s="22">
        <f>nicable</f>
        <v>14202.56</v>
      </c>
      <c r="G12" s="23"/>
      <c r="H12" s="21"/>
      <c r="I12" s="20"/>
      <c r="J12" s="24"/>
      <c r="K12" s="27">
        <f>IF(ctaxprofit&gt;salcombined,salcombined,ctaxprofit)</f>
        <v>8424</v>
      </c>
      <c r="L12" s="26"/>
      <c r="AC12"/>
      <c r="AD12"/>
      <c r="AE12"/>
      <c r="AF12"/>
      <c r="AG12" s="6"/>
    </row>
    <row r="13" spans="2:33" ht="15.75">
      <c r="B13" s="10" t="str">
        <f>IF(ErsAllceinput&gt;0,"Employers NI (reduced by E'ers NI All'ce)","Employers NI")</f>
        <v>Employers NI</v>
      </c>
      <c r="C13" s="3"/>
      <c r="D13" s="20"/>
      <c r="E13" s="21"/>
      <c r="F13" s="28">
        <f>ersnipayable</f>
        <v>797.44</v>
      </c>
      <c r="G13" s="29">
        <f>SUM(F12:F13)</f>
        <v>15000</v>
      </c>
      <c r="H13" s="21"/>
      <c r="I13" s="20"/>
      <c r="J13" s="24"/>
      <c r="K13" s="28">
        <f>ersnionsalcombined</f>
        <v>0</v>
      </c>
      <c r="L13" s="29">
        <f>SUM(K12:K13)</f>
        <v>8424</v>
      </c>
      <c r="AC13"/>
      <c r="AD13"/>
      <c r="AE13"/>
      <c r="AF13"/>
      <c r="AG13" s="6"/>
    </row>
    <row r="14" spans="2:33" ht="15.75">
      <c r="B14" s="10" t="s">
        <v>57</v>
      </c>
      <c r="C14" s="3"/>
      <c r="D14" s="20"/>
      <c r="E14" s="21"/>
      <c r="F14" s="22"/>
      <c r="G14" s="23">
        <f>IF(G10-G13&lt;0.01,0,+G10-G13)</f>
        <v>0</v>
      </c>
      <c r="H14" s="21"/>
      <c r="I14" s="20"/>
      <c r="J14" s="24"/>
      <c r="K14" s="25"/>
      <c r="L14" s="23">
        <f>IF((L10-L13)&gt;0,L10-L13,0)</f>
        <v>6576</v>
      </c>
      <c r="AC14"/>
      <c r="AD14"/>
      <c r="AE14"/>
      <c r="AF14"/>
      <c r="AG14" s="6"/>
    </row>
    <row r="15" spans="2:33" ht="15.75">
      <c r="B15" s="10" t="s">
        <v>19</v>
      </c>
      <c r="C15" s="3"/>
      <c r="D15" s="20"/>
      <c r="E15" s="21"/>
      <c r="F15" s="22"/>
      <c r="G15" s="58">
        <f>ctaxsalaryroute</f>
        <v>0</v>
      </c>
      <c r="H15" s="21"/>
      <c r="I15" s="53">
        <f>netctaxdivroute</f>
        <v>2850</v>
      </c>
      <c r="J15" s="30"/>
      <c r="K15" s="25"/>
      <c r="L15" s="60">
        <f>ctaxcombined</f>
        <v>1249.44</v>
      </c>
      <c r="AC15"/>
      <c r="AD15"/>
      <c r="AE15"/>
      <c r="AF15"/>
      <c r="AG15" s="6"/>
    </row>
    <row r="16" spans="2:33" ht="15.75">
      <c r="B16" s="10" t="s">
        <v>61</v>
      </c>
      <c r="C16" s="3"/>
      <c r="D16" s="20"/>
      <c r="E16" s="21"/>
      <c r="F16" s="22"/>
      <c r="G16" s="32">
        <f>IF(+G10-G13-G15&lt;0.1,0,+G10-G13-G15)</f>
        <v>0</v>
      </c>
      <c r="H16" s="21"/>
      <c r="I16" s="33">
        <f>I10-I15</f>
        <v>12150</v>
      </c>
      <c r="J16" s="30"/>
      <c r="K16" s="25"/>
      <c r="L16" s="32">
        <f>+L10-L13-L15</f>
        <v>5326.5599999999995</v>
      </c>
      <c r="AC16"/>
      <c r="AD16"/>
      <c r="AE16"/>
      <c r="AF16"/>
      <c r="AG16" s="6"/>
    </row>
    <row r="17" spans="2:33" ht="15.75">
      <c r="B17" s="10" t="s">
        <v>202</v>
      </c>
      <c r="D17" s="34"/>
      <c r="E17" s="30"/>
      <c r="F17" s="35"/>
      <c r="G17" s="23"/>
      <c r="H17" s="21"/>
      <c r="I17" s="20">
        <f>I16-RetainedProfitInCoPerDirector</f>
        <v>12150</v>
      </c>
      <c r="J17" s="30"/>
      <c r="K17" s="25"/>
      <c r="L17" s="23">
        <f>L16-RetainedProfitInCoPerDirector</f>
        <v>5326.5599999999995</v>
      </c>
      <c r="AC17"/>
      <c r="AD17"/>
      <c r="AE17"/>
      <c r="AF17"/>
      <c r="AG17" s="6"/>
    </row>
    <row r="18" spans="2:36" ht="15.75">
      <c r="B18" s="10" t="s">
        <v>9</v>
      </c>
      <c r="D18" s="34"/>
      <c r="E18" s="30"/>
      <c r="F18" s="35"/>
      <c r="G18" s="23"/>
      <c r="H18" s="21"/>
      <c r="I18" s="20" t="s">
        <v>9</v>
      </c>
      <c r="J18" s="30"/>
      <c r="K18" s="25"/>
      <c r="L18" s="23" t="s">
        <v>9</v>
      </c>
      <c r="AC18"/>
      <c r="AD18"/>
      <c r="AE18"/>
      <c r="AF18"/>
      <c r="AG18" s="6"/>
      <c r="AH18" s="6"/>
      <c r="AI18" s="6"/>
      <c r="AJ18" s="6"/>
    </row>
    <row r="19" spans="2:36" ht="15" hidden="1">
      <c r="B19" s="10" t="s">
        <v>9</v>
      </c>
      <c r="D19" s="34"/>
      <c r="E19" s="30"/>
      <c r="F19" s="35"/>
      <c r="G19" s="23"/>
      <c r="H19" s="21"/>
      <c r="I19" s="20">
        <v>0</v>
      </c>
      <c r="J19" s="30"/>
      <c r="K19" s="25"/>
      <c r="L19" s="23">
        <v>0</v>
      </c>
      <c r="N19" t="s">
        <v>9</v>
      </c>
      <c r="AC19"/>
      <c r="AD19"/>
      <c r="AE19"/>
      <c r="AF19"/>
      <c r="AG19" s="6"/>
      <c r="AH19" s="6"/>
      <c r="AI19" s="6"/>
      <c r="AJ19" s="6"/>
    </row>
    <row r="20" spans="2:36" ht="15" hidden="1">
      <c r="B20" s="10" t="s">
        <v>193</v>
      </c>
      <c r="D20" s="34"/>
      <c r="E20" s="30"/>
      <c r="F20" s="35"/>
      <c r="G20" s="23"/>
      <c r="H20" s="21"/>
      <c r="I20" s="36">
        <f>I15+I19</f>
        <v>2850</v>
      </c>
      <c r="J20" s="30"/>
      <c r="K20" s="25"/>
      <c r="L20" s="36">
        <f>L15+L19</f>
        <v>1249.44</v>
      </c>
      <c r="N20" s="30" t="s">
        <v>9</v>
      </c>
      <c r="AC20"/>
      <c r="AD20"/>
      <c r="AE20"/>
      <c r="AF20"/>
      <c r="AG20" s="6"/>
      <c r="AH20" s="6"/>
      <c r="AI20" s="6"/>
      <c r="AJ20" s="6"/>
    </row>
    <row r="21" spans="2:36" ht="15" customHeight="1" hidden="1">
      <c r="B21" s="10" t="s">
        <v>192</v>
      </c>
      <c r="D21" s="34"/>
      <c r="E21" s="30"/>
      <c r="F21" s="35"/>
      <c r="G21" s="23"/>
      <c r="H21" s="21"/>
      <c r="I21" s="20">
        <f>I16-I19</f>
        <v>12150</v>
      </c>
      <c r="J21" s="30"/>
      <c r="K21" s="25"/>
      <c r="L21" s="23">
        <f>L16-L19</f>
        <v>5326.5599999999995</v>
      </c>
      <c r="M21" s="30" t="s">
        <v>9</v>
      </c>
      <c r="N21" t="s">
        <v>9</v>
      </c>
      <c r="AC21"/>
      <c r="AD21"/>
      <c r="AE21"/>
      <c r="AF21"/>
      <c r="AG21" s="164"/>
      <c r="AI21" s="164"/>
      <c r="AJ21" s="164"/>
    </row>
    <row r="22" spans="2:36" ht="15" customHeight="1" hidden="1">
      <c r="B22" s="10" t="s">
        <v>191</v>
      </c>
      <c r="D22" s="34"/>
      <c r="E22" s="30"/>
      <c r="F22" s="35"/>
      <c r="G22" s="23"/>
      <c r="H22" s="21"/>
      <c r="I22" s="23">
        <v>0</v>
      </c>
      <c r="J22" s="30"/>
      <c r="K22" s="25"/>
      <c r="L22" s="23">
        <v>0</v>
      </c>
      <c r="AC22"/>
      <c r="AD22"/>
      <c r="AE22"/>
      <c r="AF22"/>
      <c r="AG22" s="6"/>
      <c r="AI22" s="6"/>
      <c r="AJ22" s="6"/>
    </row>
    <row r="23" spans="2:36" ht="15" customHeight="1">
      <c r="B23" s="10" t="s">
        <v>95</v>
      </c>
      <c r="D23" s="34"/>
      <c r="E23" s="30"/>
      <c r="F23" s="35"/>
      <c r="G23" s="36">
        <f>+G16</f>
        <v>0</v>
      </c>
      <c r="H23" s="21"/>
      <c r="I23" s="36">
        <f>RetainedProfitInCoPerDirector</f>
        <v>0</v>
      </c>
      <c r="J23" s="30"/>
      <c r="K23" s="25"/>
      <c r="L23" s="36">
        <f>RetainedProfitInCoPerDirector</f>
        <v>0</v>
      </c>
      <c r="AC23"/>
      <c r="AD23"/>
      <c r="AE23"/>
      <c r="AF23"/>
      <c r="AG23" s="6"/>
      <c r="AI23" s="6"/>
      <c r="AJ23" s="6"/>
    </row>
    <row r="24" spans="2:36" ht="15" customHeight="1">
      <c r="B24" s="10"/>
      <c r="D24" s="34"/>
      <c r="E24" s="30"/>
      <c r="F24" s="35"/>
      <c r="G24" s="23"/>
      <c r="H24" s="21"/>
      <c r="I24" s="20"/>
      <c r="J24" s="30"/>
      <c r="K24" s="25"/>
      <c r="L24" s="26"/>
      <c r="AC24"/>
      <c r="AD24"/>
      <c r="AE24"/>
      <c r="AF24"/>
      <c r="AG24" s="6"/>
      <c r="AI24" s="6"/>
      <c r="AJ24" s="6"/>
    </row>
    <row r="25" spans="2:36" ht="15" customHeight="1">
      <c r="B25" s="10" t="s">
        <v>46</v>
      </c>
      <c r="D25" s="34"/>
      <c r="E25" s="30"/>
      <c r="F25" s="35"/>
      <c r="G25" s="23"/>
      <c r="H25" s="21"/>
      <c r="I25" s="20">
        <f>I17</f>
        <v>12150</v>
      </c>
      <c r="J25" s="30"/>
      <c r="K25" s="25"/>
      <c r="L25" s="23">
        <f>L17</f>
        <v>5326.5599999999995</v>
      </c>
      <c r="AC25"/>
      <c r="AD25"/>
      <c r="AE25"/>
      <c r="AF25"/>
      <c r="AG25" s="6"/>
      <c r="AI25" s="6"/>
      <c r="AJ25" s="6"/>
    </row>
    <row r="26" spans="2:36" ht="15.75">
      <c r="B26" s="10" t="s">
        <v>1</v>
      </c>
      <c r="D26" s="34"/>
      <c r="E26" s="30"/>
      <c r="F26" s="35"/>
      <c r="G26" s="23">
        <f>nicable</f>
        <v>14202.56</v>
      </c>
      <c r="H26" s="21"/>
      <c r="I26" s="34"/>
      <c r="J26" s="30"/>
      <c r="K26" s="25"/>
      <c r="L26" s="37">
        <f>IF(ctaxprofit&gt;salcombined,salcombined,ctaxprofit)</f>
        <v>8424</v>
      </c>
      <c r="AC26"/>
      <c r="AD26"/>
      <c r="AE26"/>
      <c r="AF26"/>
      <c r="AG26" s="6"/>
      <c r="AI26" s="6"/>
      <c r="AJ26" s="6"/>
    </row>
    <row r="27" spans="2:36" ht="15.75">
      <c r="B27" s="10" t="s">
        <v>17</v>
      </c>
      <c r="C27" s="3"/>
      <c r="D27" s="20">
        <f>setax1</f>
        <v>630</v>
      </c>
      <c r="E27" s="21"/>
      <c r="F27" s="193">
        <f>ROUND(itaxpayablesalroute2,2)</f>
        <v>470.51</v>
      </c>
      <c r="G27" s="23"/>
      <c r="H27" s="21"/>
      <c r="I27" s="20">
        <f>addltaxondivs2</f>
        <v>0</v>
      </c>
      <c r="J27" s="30"/>
      <c r="K27" s="27">
        <f>taxpayablecombined2</f>
        <v>0</v>
      </c>
      <c r="L27" s="26"/>
      <c r="AC27"/>
      <c r="AD27"/>
      <c r="AE27"/>
      <c r="AF27"/>
      <c r="AG27" s="6"/>
      <c r="AI27" s="6"/>
      <c r="AJ27" s="6"/>
    </row>
    <row r="28" spans="2:36" ht="19.5" customHeight="1">
      <c r="B28" s="10" t="s">
        <v>14</v>
      </c>
      <c r="C28" s="3"/>
      <c r="D28" s="20">
        <f>IF(exemptni=1,0,seclass4ni)</f>
        <v>591.84</v>
      </c>
      <c r="E28" s="21"/>
      <c r="F28" s="22"/>
      <c r="G28" s="23"/>
      <c r="H28" s="21"/>
      <c r="I28" s="20"/>
      <c r="J28" s="30"/>
      <c r="K28" s="25"/>
      <c r="L28" s="26"/>
      <c r="AC28"/>
      <c r="AD28"/>
      <c r="AE28"/>
      <c r="AF28"/>
      <c r="AG28" s="6"/>
      <c r="AI28" s="6"/>
      <c r="AJ28" s="6"/>
    </row>
    <row r="29" spans="2:31" ht="19.5" customHeight="1">
      <c r="B29" s="10" t="s">
        <v>49</v>
      </c>
      <c r="C29" s="3"/>
      <c r="D29" s="20">
        <f>IF(exemptni=1,0,Class2Ni)</f>
        <v>153.4</v>
      </c>
      <c r="E29" s="21"/>
      <c r="F29" s="22"/>
      <c r="G29" s="23"/>
      <c r="H29" s="21"/>
      <c r="I29" s="20"/>
      <c r="J29" s="30"/>
      <c r="K29" s="22" t="s">
        <v>9</v>
      </c>
      <c r="L29" s="26"/>
      <c r="AC29"/>
      <c r="AD29"/>
      <c r="AE29"/>
    </row>
    <row r="30" spans="2:31" ht="19.5" customHeight="1">
      <c r="B30" s="10">
        <f>IF(Addbacks&gt;0,"Addbacks (not actually received)","")</f>
      </c>
      <c r="C30" s="3"/>
      <c r="D30" s="20">
        <f>Addbacks</f>
        <v>0</v>
      </c>
      <c r="E30" s="21"/>
      <c r="F30" s="22"/>
      <c r="G30" s="23"/>
      <c r="H30" s="21"/>
      <c r="I30" s="20"/>
      <c r="J30" s="30"/>
      <c r="K30" s="25"/>
      <c r="L30" s="26"/>
      <c r="AC30"/>
      <c r="AD30"/>
      <c r="AE30"/>
    </row>
    <row r="31" spans="2:31" ht="19.5" customHeight="1">
      <c r="B31" s="10">
        <f>IF(taxbik&gt;0,"Tax on Benefits in Kind","")</f>
      </c>
      <c r="C31" s="249"/>
      <c r="D31" s="247"/>
      <c r="E31" s="21"/>
      <c r="F31" s="22">
        <f>taxbik</f>
        <v>0</v>
      </c>
      <c r="G31" s="23"/>
      <c r="H31" s="21"/>
      <c r="I31" s="20">
        <f>taxbik</f>
        <v>0</v>
      </c>
      <c r="J31" s="30"/>
      <c r="K31" s="22">
        <f>taxbik</f>
        <v>0</v>
      </c>
      <c r="L31" s="26"/>
      <c r="AC31"/>
      <c r="AD31"/>
      <c r="AE31"/>
    </row>
    <row r="32" spans="2:31" ht="19.5" customHeight="1">
      <c r="B32" s="248" t="s">
        <v>238</v>
      </c>
      <c r="C32" s="249"/>
      <c r="D32" s="247"/>
      <c r="E32" s="21"/>
      <c r="F32" s="252"/>
      <c r="G32" s="23"/>
      <c r="H32" s="21"/>
      <c r="I32" s="247"/>
      <c r="J32" s="30"/>
      <c r="K32" s="252"/>
      <c r="L32" s="26"/>
      <c r="AC32"/>
      <c r="AD32"/>
      <c r="AE32"/>
    </row>
    <row r="33" spans="2:31" ht="19.5" customHeight="1">
      <c r="B33" s="10" t="s">
        <v>63</v>
      </c>
      <c r="C33" s="3"/>
      <c r="D33" s="20"/>
      <c r="E33" s="21"/>
      <c r="F33" s="28">
        <f>IF(exemptni=1,0,eesnipayablesalroute)</f>
        <v>693.4271999999999</v>
      </c>
      <c r="G33" s="23"/>
      <c r="H33" s="21"/>
      <c r="I33" s="20"/>
      <c r="J33" s="30"/>
      <c r="K33" s="38">
        <f>IF(exemptni=1,0,eesnionsalcombined)</f>
        <v>0</v>
      </c>
      <c r="L33" s="39" t="s">
        <v>9</v>
      </c>
      <c r="AC33"/>
      <c r="AD33"/>
      <c r="AE33"/>
    </row>
    <row r="34" spans="2:31" ht="19.5" customHeight="1" thickBot="1">
      <c r="B34" s="11"/>
      <c r="C34" s="3"/>
      <c r="D34" s="40"/>
      <c r="E34" s="41"/>
      <c r="F34" s="42"/>
      <c r="G34" s="43"/>
      <c r="H34" s="41"/>
      <c r="I34" s="40"/>
      <c r="J34" s="30"/>
      <c r="K34" s="25"/>
      <c r="L34" s="26"/>
      <c r="AC34"/>
      <c r="AD34"/>
      <c r="AE34"/>
    </row>
    <row r="35" spans="2:31" ht="16.5" thickBot="1" thickTop="1">
      <c r="B35" s="10" t="s">
        <v>65</v>
      </c>
      <c r="C35" s="3"/>
      <c r="D35" s="59">
        <f>SUM(D27:D34)</f>
        <v>1375.2400000000002</v>
      </c>
      <c r="E35" s="30"/>
      <c r="F35" s="35"/>
      <c r="G35" s="81">
        <f>ROUND(SUM(F27:F35),2)</f>
        <v>1163.94</v>
      </c>
      <c r="H35" s="41"/>
      <c r="I35" s="59">
        <f>SUM(I27:I34)</f>
        <v>0</v>
      </c>
      <c r="J35" s="30"/>
      <c r="K35" s="25"/>
      <c r="L35" s="81">
        <f>SUM(K27:K35)</f>
        <v>0</v>
      </c>
      <c r="AC35"/>
      <c r="AD35"/>
      <c r="AE35"/>
    </row>
    <row r="36" spans="2:31" ht="6.75" customHeight="1" thickTop="1">
      <c r="B36" s="11"/>
      <c r="C36" s="3"/>
      <c r="D36" s="40"/>
      <c r="E36" s="41"/>
      <c r="F36" s="42"/>
      <c r="G36" s="43"/>
      <c r="H36" s="41"/>
      <c r="I36" s="40"/>
      <c r="J36" s="30"/>
      <c r="K36" s="25"/>
      <c r="L36" s="26"/>
      <c r="AC36"/>
      <c r="AD36"/>
      <c r="AE36"/>
    </row>
    <row r="37" spans="2:31" ht="15.75" thickBot="1">
      <c r="B37" s="10" t="s">
        <v>96</v>
      </c>
      <c r="C37" s="3"/>
      <c r="D37" s="51">
        <f>+D10-D35</f>
        <v>13624.76</v>
      </c>
      <c r="E37" s="21"/>
      <c r="F37" s="42"/>
      <c r="G37" s="52">
        <f>+G26-G35</f>
        <v>13038.619999999999</v>
      </c>
      <c r="H37" s="41"/>
      <c r="I37" s="51">
        <f>I25-I35</f>
        <v>12150</v>
      </c>
      <c r="J37" s="30"/>
      <c r="K37" s="25"/>
      <c r="L37" s="52">
        <f>+L26-L35+L25</f>
        <v>13750.56</v>
      </c>
      <c r="AC37"/>
      <c r="AD37"/>
      <c r="AE37"/>
    </row>
    <row r="38" spans="2:31" ht="16.5" customHeight="1" thickBot="1" thickTop="1">
      <c r="B38" s="10"/>
      <c r="C38" s="3"/>
      <c r="D38" s="71"/>
      <c r="F38" s="72"/>
      <c r="G38" s="77"/>
      <c r="I38" s="75"/>
      <c r="K38" s="72"/>
      <c r="L38" s="73"/>
      <c r="AC38"/>
      <c r="AD38"/>
      <c r="AE38"/>
    </row>
    <row r="39" spans="2:31" ht="19.5" customHeight="1" thickBot="1" thickTop="1">
      <c r="B39" s="110" t="s">
        <v>130</v>
      </c>
      <c r="C39" s="74"/>
      <c r="D39" s="111"/>
      <c r="E39" s="21"/>
      <c r="F39" s="42"/>
      <c r="G39" s="58"/>
      <c r="H39" s="41"/>
      <c r="I39" s="113">
        <f>(I37-G37)</f>
        <v>-888.619999999999</v>
      </c>
      <c r="J39" s="30"/>
      <c r="K39" s="25"/>
      <c r="L39" s="112">
        <f>(L37-G37)</f>
        <v>711.9400000000005</v>
      </c>
      <c r="AC39"/>
      <c r="AD39"/>
      <c r="AE39"/>
    </row>
    <row r="40" spans="2:31" ht="19.5" customHeight="1" thickBot="1" thickTop="1">
      <c r="B40" s="110" t="str">
        <f>IF(supsole=1,"Saving by using Salary/Dividend","Saving/(Cost) compared to the Individual Route")</f>
        <v>Saving/(Cost) compared to the Individual Route</v>
      </c>
      <c r="C40" s="74"/>
      <c r="D40" s="111"/>
      <c r="E40" s="162"/>
      <c r="F40" s="42"/>
      <c r="G40" s="112">
        <f>IF(supsole=1,0,(G37-D37))</f>
        <v>-586.1400000000012</v>
      </c>
      <c r="H40" s="41"/>
      <c r="I40" s="112">
        <f>IF(supsole=1,0,(I37-D37))</f>
        <v>-1474.7600000000002</v>
      </c>
      <c r="J40" s="30"/>
      <c r="K40" s="25"/>
      <c r="L40" s="112">
        <f>IF(supsole=1,(L37-G37),(L37-D37))</f>
        <v>125.79999999999927</v>
      </c>
      <c r="AC40"/>
      <c r="AD40"/>
      <c r="AE40"/>
    </row>
    <row r="41" spans="2:31" ht="15" customHeight="1" thickTop="1">
      <c r="B41" s="10">
        <f>IF(goodwillperpartner&gt;0,"Add:Tax free Draw on Director's Loan","")</f>
      </c>
      <c r="C41" s="3"/>
      <c r="D41" s="57"/>
      <c r="E41" s="21"/>
      <c r="F41" s="42"/>
      <c r="G41" s="276">
        <f>taxfreedirsloan</f>
        <v>0</v>
      </c>
      <c r="H41" s="41"/>
      <c r="I41" s="276">
        <f>taxfreedirsloan</f>
        <v>0</v>
      </c>
      <c r="J41" s="30"/>
      <c r="K41" s="25"/>
      <c r="L41" s="276">
        <f>taxfreedirsloan</f>
        <v>0</v>
      </c>
      <c r="AC41"/>
      <c r="AD41"/>
      <c r="AE41"/>
    </row>
    <row r="42" spans="2:31" ht="15" customHeight="1" thickBot="1">
      <c r="B42" s="10"/>
      <c r="C42" s="3"/>
      <c r="D42" s="57"/>
      <c r="E42" s="21"/>
      <c r="F42" s="42"/>
      <c r="G42" s="277">
        <f>G40+G41</f>
        <v>-586.1400000000012</v>
      </c>
      <c r="H42" s="41"/>
      <c r="I42" s="277">
        <f>I40+I41</f>
        <v>-1474.7600000000002</v>
      </c>
      <c r="J42" s="30"/>
      <c r="K42" s="25"/>
      <c r="L42" s="277">
        <f>L40+L41</f>
        <v>125.79999999999927</v>
      </c>
      <c r="AC42"/>
      <c r="AD42"/>
      <c r="AE42"/>
    </row>
    <row r="43" spans="2:31" ht="15.75" thickTop="1">
      <c r="B43" s="10">
        <f>IF(I43&gt;0,"Retained Profit (subject to income tax if paid out)","")</f>
      </c>
      <c r="C43" s="3"/>
      <c r="D43" s="54"/>
      <c r="E43" s="41"/>
      <c r="F43" s="45"/>
      <c r="G43" s="29">
        <f>G23</f>
        <v>0</v>
      </c>
      <c r="H43" s="55"/>
      <c r="I43" s="76">
        <f>I23</f>
        <v>0</v>
      </c>
      <c r="J43" s="56"/>
      <c r="K43" s="46"/>
      <c r="L43" s="76">
        <f>L23</f>
        <v>0</v>
      </c>
      <c r="AC43"/>
      <c r="AD43"/>
      <c r="AE43"/>
    </row>
    <row r="44" spans="2:31" ht="15" hidden="1">
      <c r="B44" s="10"/>
      <c r="C44" s="3"/>
      <c r="D44" s="44">
        <f>SUM(D37:D43)</f>
        <v>13624.76</v>
      </c>
      <c r="E44" s="41"/>
      <c r="F44" s="45"/>
      <c r="G44" s="31">
        <f>SUM(G37:G43)</f>
        <v>11866.339999999997</v>
      </c>
      <c r="H44" s="41"/>
      <c r="I44" s="44">
        <f>SUM(I37:I43)</f>
        <v>8311.86</v>
      </c>
      <c r="J44" s="30"/>
      <c r="K44" s="46"/>
      <c r="L44" s="31">
        <f>SUM(L37:L43)</f>
        <v>14714.099999999999</v>
      </c>
      <c r="AC44"/>
      <c r="AD44"/>
      <c r="AE44"/>
    </row>
    <row r="45" spans="2:31" ht="17.25">
      <c r="B45" s="165" t="s">
        <v>9</v>
      </c>
      <c r="C45" s="82" t="s">
        <v>9</v>
      </c>
      <c r="D45" s="8"/>
      <c r="E45" s="8"/>
      <c r="F45" s="8"/>
      <c r="G45" s="8"/>
      <c r="H45" s="8"/>
      <c r="I45" s="8"/>
      <c r="J45" s="8"/>
      <c r="AC45"/>
      <c r="AD45"/>
      <c r="AE45"/>
    </row>
    <row r="46" spans="2:31" ht="15">
      <c r="B46" s="2" t="s">
        <v>18</v>
      </c>
      <c r="C46" s="3"/>
      <c r="D46" s="3"/>
      <c r="E46" s="3"/>
      <c r="F46" s="3"/>
      <c r="G46" s="82" t="s">
        <v>9</v>
      </c>
      <c r="H46" s="3"/>
      <c r="I46" s="166" t="s">
        <v>9</v>
      </c>
      <c r="J46" s="82"/>
      <c r="K46" s="167"/>
      <c r="L46" s="166" t="s">
        <v>9</v>
      </c>
      <c r="AC46"/>
      <c r="AD46"/>
      <c r="AE46"/>
    </row>
    <row r="47" spans="2:31" ht="15">
      <c r="B47" s="3" t="str">
        <f>F6</f>
        <v>2018/19 rates</v>
      </c>
      <c r="C47" s="3"/>
      <c r="D47" s="3"/>
      <c r="E47" s="3"/>
      <c r="F47" s="3"/>
      <c r="G47" s="3"/>
      <c r="H47" s="3"/>
      <c r="I47" s="3"/>
      <c r="J47" s="3"/>
      <c r="AC47"/>
      <c r="AD47"/>
      <c r="AE47"/>
    </row>
    <row r="48" spans="2:31" ht="15">
      <c r="B48" s="3"/>
      <c r="C48" s="3"/>
      <c r="D48" s="3"/>
      <c r="E48" s="3"/>
      <c r="F48" s="3"/>
      <c r="G48" s="3"/>
      <c r="H48" s="3"/>
      <c r="I48" s="3"/>
      <c r="J48" s="3"/>
      <c r="AC48"/>
      <c r="AD48"/>
      <c r="AE48"/>
    </row>
    <row r="49" spans="2:31" ht="15">
      <c r="B49" s="68" t="s">
        <v>99</v>
      </c>
      <c r="C49" s="69"/>
      <c r="D49" s="69"/>
      <c r="E49" s="61"/>
      <c r="F49" s="63"/>
      <c r="G49" s="3"/>
      <c r="H49" s="3"/>
      <c r="I49" s="3"/>
      <c r="J49" s="3"/>
      <c r="AC49"/>
      <c r="AD49"/>
      <c r="AE49"/>
    </row>
    <row r="50" spans="2:31" ht="15">
      <c r="B50" s="68" t="s">
        <v>97</v>
      </c>
      <c r="C50" s="69"/>
      <c r="D50" s="70"/>
      <c r="E50" s="62"/>
      <c r="F50" s="66">
        <f>numberofparts</f>
        <v>1</v>
      </c>
      <c r="G50" s="3"/>
      <c r="H50" s="3"/>
      <c r="I50" s="3"/>
      <c r="J50" s="3"/>
      <c r="AC50"/>
      <c r="AD50"/>
      <c r="AE50"/>
    </row>
    <row r="51" spans="2:31" ht="15">
      <c r="B51" s="68" t="s">
        <v>98</v>
      </c>
      <c r="C51" s="69"/>
      <c r="D51" s="70"/>
      <c r="E51" s="62"/>
      <c r="F51" s="67">
        <f>profit*numberofparts</f>
        <v>15000</v>
      </c>
      <c r="G51" s="3"/>
      <c r="H51" s="3"/>
      <c r="I51" s="3"/>
      <c r="J51" s="3"/>
      <c r="AC51"/>
      <c r="AD51"/>
      <c r="AE51"/>
    </row>
    <row r="52" spans="2:31" ht="15">
      <c r="B52" s="68" t="s">
        <v>100</v>
      </c>
      <c r="C52" s="69"/>
      <c r="D52" s="69"/>
      <c r="E52" s="62"/>
      <c r="F52" s="64">
        <f>pensioncont</f>
        <v>0</v>
      </c>
      <c r="G52" s="3"/>
      <c r="H52" s="3"/>
      <c r="I52" s="3"/>
      <c r="J52" s="3"/>
      <c r="AC52"/>
      <c r="AD52"/>
      <c r="AE52"/>
    </row>
    <row r="53" spans="2:31" ht="15">
      <c r="B53" s="68" t="s">
        <v>296</v>
      </c>
      <c r="C53" s="69"/>
      <c r="D53" s="69"/>
      <c r="E53" s="62"/>
      <c r="F53" s="64">
        <f>retainedprofitinco</f>
        <v>0</v>
      </c>
      <c r="G53" s="3"/>
      <c r="H53" s="3"/>
      <c r="I53" s="3"/>
      <c r="J53" s="3"/>
      <c r="AC53"/>
      <c r="AD53"/>
      <c r="AE53"/>
    </row>
    <row r="54" spans="2:31" ht="15">
      <c r="B54" s="68" t="s">
        <v>101</v>
      </c>
      <c r="C54" s="69"/>
      <c r="D54" s="69"/>
      <c r="E54" s="62"/>
      <c r="F54" s="65">
        <f>salcombined</f>
        <v>8424</v>
      </c>
      <c r="G54" s="3"/>
      <c r="H54" s="3"/>
      <c r="I54" s="3"/>
      <c r="J54" s="3"/>
      <c r="AC54"/>
      <c r="AD54"/>
      <c r="AE54"/>
    </row>
    <row r="55" spans="29:31" ht="15">
      <c r="AC55"/>
      <c r="AD55"/>
      <c r="AE55"/>
    </row>
    <row r="56" spans="29:31" ht="15">
      <c r="AC56"/>
      <c r="AD56"/>
      <c r="AE56"/>
    </row>
    <row r="57" spans="29:31" ht="15">
      <c r="AC57"/>
      <c r="AD57"/>
      <c r="AE57"/>
    </row>
    <row r="58" spans="29:31" ht="15">
      <c r="AC58"/>
      <c r="AD58"/>
      <c r="AE58"/>
    </row>
    <row r="59" spans="29:31" ht="15">
      <c r="AC59"/>
      <c r="AD59"/>
      <c r="AE59"/>
    </row>
    <row r="60" spans="29:31" ht="15">
      <c r="AC60"/>
      <c r="AD60"/>
      <c r="AE60"/>
    </row>
    <row r="61" spans="29:31" ht="15">
      <c r="AC61"/>
      <c r="AD61"/>
      <c r="AE61"/>
    </row>
    <row r="62" spans="29:31" ht="15">
      <c r="AC62"/>
      <c r="AD62"/>
      <c r="AE62"/>
    </row>
    <row r="63" spans="29:31" ht="15">
      <c r="AC63"/>
      <c r="AD63"/>
      <c r="AE63"/>
    </row>
    <row r="64" spans="29:31" ht="15">
      <c r="AC64"/>
      <c r="AD64"/>
      <c r="AE64"/>
    </row>
    <row r="65" spans="29:31" ht="15">
      <c r="AC65"/>
      <c r="AD65"/>
      <c r="AE65"/>
    </row>
    <row r="66" spans="29:31" ht="15">
      <c r="AC66"/>
      <c r="AD66"/>
      <c r="AE66"/>
    </row>
    <row r="67" spans="29:31" ht="15">
      <c r="AC67"/>
      <c r="AD67"/>
      <c r="AE67"/>
    </row>
    <row r="68" spans="29:31" ht="15">
      <c r="AC68"/>
      <c r="AD68"/>
      <c r="AE68"/>
    </row>
    <row r="69" spans="29:31" ht="15">
      <c r="AC69"/>
      <c r="AD69"/>
      <c r="AE69"/>
    </row>
    <row r="70" spans="29:31" ht="15">
      <c r="AC70"/>
      <c r="AD70"/>
      <c r="AE70"/>
    </row>
    <row r="71" spans="29:31" ht="15">
      <c r="AC71"/>
      <c r="AD71"/>
      <c r="AE71"/>
    </row>
    <row r="72" spans="29:31" ht="15">
      <c r="AC72"/>
      <c r="AD72"/>
      <c r="AE72"/>
    </row>
    <row r="73" spans="29:31" ht="15">
      <c r="AC73"/>
      <c r="AD73"/>
      <c r="AE73"/>
    </row>
    <row r="74" spans="29:31" ht="15">
      <c r="AC74"/>
      <c r="AD74"/>
      <c r="AE74"/>
    </row>
    <row r="75" spans="29:31" ht="15">
      <c r="AC75"/>
      <c r="AD75"/>
      <c r="AE75"/>
    </row>
    <row r="76" spans="29:31" ht="15">
      <c r="AC76"/>
      <c r="AD76"/>
      <c r="AE76"/>
    </row>
    <row r="77" spans="29:31" ht="15">
      <c r="AC77"/>
      <c r="AD77"/>
      <c r="AE77"/>
    </row>
    <row r="78" spans="29:31" ht="15">
      <c r="AC78"/>
      <c r="AD78"/>
      <c r="AE78"/>
    </row>
    <row r="79" spans="29:31" ht="15">
      <c r="AC79"/>
      <c r="AD79"/>
      <c r="AE79"/>
    </row>
    <row r="80" spans="29:31" ht="15">
      <c r="AC80"/>
      <c r="AD80"/>
      <c r="AE80"/>
    </row>
    <row r="81" spans="29:31" ht="15">
      <c r="AC81"/>
      <c r="AD81"/>
      <c r="AE81"/>
    </row>
    <row r="82" spans="29:31" ht="15">
      <c r="AC82"/>
      <c r="AD82"/>
      <c r="AE82"/>
    </row>
    <row r="83" spans="29:31" ht="15">
      <c r="AC83"/>
      <c r="AD83"/>
      <c r="AE83"/>
    </row>
    <row r="84" spans="29:31" ht="15">
      <c r="AC84"/>
      <c r="AD84"/>
      <c r="AE84"/>
    </row>
    <row r="85" spans="29:31" ht="15">
      <c r="AC85"/>
      <c r="AD85"/>
      <c r="AE85"/>
    </row>
    <row r="86" spans="29:31" ht="15">
      <c r="AC86"/>
      <c r="AD86"/>
      <c r="AE86"/>
    </row>
    <row r="87" spans="29:31" ht="15">
      <c r="AC87"/>
      <c r="AD87"/>
      <c r="AE87"/>
    </row>
    <row r="88" spans="29:31" ht="15">
      <c r="AC88"/>
      <c r="AD88"/>
      <c r="AE88"/>
    </row>
    <row r="89" spans="29:31" ht="15">
      <c r="AC89"/>
      <c r="AD89"/>
      <c r="AE89"/>
    </row>
    <row r="90" spans="29:31" ht="15">
      <c r="AC90"/>
      <c r="AD90"/>
      <c r="AE90"/>
    </row>
    <row r="91" spans="29:31" ht="15">
      <c r="AC91"/>
      <c r="AD91"/>
      <c r="AE91"/>
    </row>
    <row r="92" spans="29:31" ht="15">
      <c r="AC92"/>
      <c r="AD92"/>
      <c r="AE92"/>
    </row>
    <row r="93" spans="29:31" ht="15">
      <c r="AC93"/>
      <c r="AD93"/>
      <c r="AE93"/>
    </row>
    <row r="94" spans="29:31" ht="15">
      <c r="AC94"/>
      <c r="AD94"/>
      <c r="AE94"/>
    </row>
    <row r="95" spans="29:31" ht="15">
      <c r="AC95"/>
      <c r="AD95"/>
      <c r="AE95"/>
    </row>
    <row r="96" spans="29:31" ht="15">
      <c r="AC96"/>
      <c r="AD96"/>
      <c r="AE96"/>
    </row>
    <row r="97" spans="29:31" ht="15">
      <c r="AC97"/>
      <c r="AD97"/>
      <c r="AE97"/>
    </row>
    <row r="98" spans="29:31" ht="15">
      <c r="AC98"/>
      <c r="AD98"/>
      <c r="AE98"/>
    </row>
    <row r="99" spans="29:31" ht="15">
      <c r="AC99"/>
      <c r="AD99"/>
      <c r="AE99"/>
    </row>
    <row r="100" spans="29:31" ht="15">
      <c r="AC100"/>
      <c r="AD100"/>
      <c r="AE100"/>
    </row>
    <row r="101" spans="29:31" ht="15">
      <c r="AC101"/>
      <c r="AD101"/>
      <c r="AE101"/>
    </row>
    <row r="102" spans="29:31" ht="15">
      <c r="AC102"/>
      <c r="AD102"/>
      <c r="AE102"/>
    </row>
    <row r="103" spans="29:31" ht="15">
      <c r="AC103"/>
      <c r="AD103"/>
      <c r="AE103"/>
    </row>
    <row r="104" spans="29:31" ht="15">
      <c r="AC104"/>
      <c r="AD104"/>
      <c r="AE104"/>
    </row>
    <row r="105" spans="29:31" ht="15">
      <c r="AC105"/>
      <c r="AD105"/>
      <c r="AE105"/>
    </row>
    <row r="106" spans="29:31" ht="15">
      <c r="AC106"/>
      <c r="AD106"/>
      <c r="AE106"/>
    </row>
    <row r="107" spans="29:31" ht="15">
      <c r="AC107"/>
      <c r="AD107"/>
      <c r="AE107"/>
    </row>
    <row r="108" spans="29:31" ht="15">
      <c r="AC108"/>
      <c r="AD108"/>
      <c r="AE108"/>
    </row>
    <row r="109" spans="29:31" ht="15">
      <c r="AC109"/>
      <c r="AD109"/>
      <c r="AE109"/>
    </row>
    <row r="110" spans="29:31" ht="15">
      <c r="AC110"/>
      <c r="AD110"/>
      <c r="AE110"/>
    </row>
    <row r="111" spans="29:31" ht="15">
      <c r="AC111"/>
      <c r="AD111"/>
      <c r="AE111"/>
    </row>
    <row r="112" spans="29:31" ht="15">
      <c r="AC112"/>
      <c r="AD112"/>
      <c r="AE112"/>
    </row>
    <row r="113" spans="29:31" ht="15">
      <c r="AC113"/>
      <c r="AD113"/>
      <c r="AE113"/>
    </row>
    <row r="114" spans="29:31" ht="15">
      <c r="AC114"/>
      <c r="AD114"/>
      <c r="AE114"/>
    </row>
    <row r="115" spans="29:31" ht="15">
      <c r="AC115"/>
      <c r="AD115"/>
      <c r="AE115"/>
    </row>
    <row r="116" spans="29:31" ht="15">
      <c r="AC116"/>
      <c r="AD116"/>
      <c r="AE116"/>
    </row>
    <row r="117" spans="29:31" ht="15">
      <c r="AC117"/>
      <c r="AD117"/>
      <c r="AE117"/>
    </row>
    <row r="118" spans="29:31" ht="15">
      <c r="AC118"/>
      <c r="AD118"/>
      <c r="AE118"/>
    </row>
    <row r="119" spans="29:31" ht="15">
      <c r="AC119"/>
      <c r="AD119"/>
      <c r="AE119"/>
    </row>
    <row r="120" spans="29:31" ht="15">
      <c r="AC120"/>
      <c r="AD120"/>
      <c r="AE120"/>
    </row>
    <row r="121" spans="29:31" ht="15">
      <c r="AC121"/>
      <c r="AD121"/>
      <c r="AE121"/>
    </row>
    <row r="122" spans="29:31" ht="15">
      <c r="AC122"/>
      <c r="AD122"/>
      <c r="AE122"/>
    </row>
    <row r="123" spans="29:31" ht="15">
      <c r="AC123"/>
      <c r="AD123"/>
      <c r="AE123"/>
    </row>
    <row r="124" spans="29:31" ht="15">
      <c r="AC124"/>
      <c r="AD124"/>
      <c r="AE124"/>
    </row>
    <row r="125" spans="29:31" ht="15">
      <c r="AC125"/>
      <c r="AD125"/>
      <c r="AE125"/>
    </row>
    <row r="126" spans="29:31" ht="15">
      <c r="AC126"/>
      <c r="AD126"/>
      <c r="AE126"/>
    </row>
    <row r="127" spans="29:31" ht="15">
      <c r="AC127"/>
      <c r="AD127"/>
      <c r="AE127"/>
    </row>
    <row r="128" spans="29:31" ht="15">
      <c r="AC128"/>
      <c r="AD128"/>
      <c r="AE128"/>
    </row>
    <row r="129" spans="29:31" ht="15">
      <c r="AC129"/>
      <c r="AD129"/>
      <c r="AE129"/>
    </row>
    <row r="130" spans="29:31" ht="15">
      <c r="AC130"/>
      <c r="AD130"/>
      <c r="AE130"/>
    </row>
    <row r="131" spans="29:31" ht="15">
      <c r="AC131"/>
      <c r="AD131"/>
      <c r="AE131"/>
    </row>
    <row r="132" spans="29:31" ht="15">
      <c r="AC132"/>
      <c r="AD132"/>
      <c r="AE132"/>
    </row>
    <row r="133" spans="29:31" ht="15">
      <c r="AC133"/>
      <c r="AD133"/>
      <c r="AE133"/>
    </row>
    <row r="134" spans="29:31" ht="15">
      <c r="AC134"/>
      <c r="AD134"/>
      <c r="AE134"/>
    </row>
    <row r="135" spans="29:31" ht="15">
      <c r="AC135"/>
      <c r="AD135"/>
      <c r="AE135"/>
    </row>
    <row r="136" spans="29:31" ht="15">
      <c r="AC136"/>
      <c r="AD136"/>
      <c r="AE136"/>
    </row>
    <row r="137" spans="29:31" ht="15">
      <c r="AC137"/>
      <c r="AD137"/>
      <c r="AE137"/>
    </row>
    <row r="138" spans="29:31" ht="15">
      <c r="AC138"/>
      <c r="AD138"/>
      <c r="AE138"/>
    </row>
    <row r="139" spans="29:31" ht="15">
      <c r="AC139"/>
      <c r="AD139"/>
      <c r="AE139"/>
    </row>
    <row r="140" spans="29:31" ht="15">
      <c r="AC140"/>
      <c r="AD140"/>
      <c r="AE140"/>
    </row>
    <row r="141" spans="29:31" ht="15">
      <c r="AC141"/>
      <c r="AD141"/>
      <c r="AE141"/>
    </row>
    <row r="142" spans="29:31" ht="15">
      <c r="AC142"/>
      <c r="AD142"/>
      <c r="AE142"/>
    </row>
    <row r="143" spans="29:31" ht="15">
      <c r="AC143"/>
      <c r="AD143"/>
      <c r="AE143"/>
    </row>
    <row r="144" spans="29:31" ht="15">
      <c r="AC144"/>
      <c r="AD144"/>
      <c r="AE144"/>
    </row>
    <row r="145" spans="29:31" ht="15">
      <c r="AC145"/>
      <c r="AD145"/>
      <c r="AE145"/>
    </row>
    <row r="146" spans="29:31" ht="15">
      <c r="AC146"/>
      <c r="AD146"/>
      <c r="AE146"/>
    </row>
    <row r="147" spans="29:31" ht="15">
      <c r="AC147"/>
      <c r="AD147"/>
      <c r="AE147"/>
    </row>
    <row r="148" spans="29:31" ht="15">
      <c r="AC148"/>
      <c r="AD148"/>
      <c r="AE148"/>
    </row>
    <row r="149" spans="29:31" ht="15">
      <c r="AC149"/>
      <c r="AD149"/>
      <c r="AE149"/>
    </row>
    <row r="150" spans="29:31" ht="15">
      <c r="AC150"/>
      <c r="AD150"/>
      <c r="AE150"/>
    </row>
    <row r="151" spans="29:31" ht="15">
      <c r="AC151"/>
      <c r="AD151"/>
      <c r="AE151"/>
    </row>
    <row r="152" spans="29:31" ht="15">
      <c r="AC152"/>
      <c r="AD152"/>
      <c r="AE152"/>
    </row>
    <row r="153" spans="29:31" ht="15">
      <c r="AC153"/>
      <c r="AD153"/>
      <c r="AE153"/>
    </row>
    <row r="154" spans="29:31" ht="15">
      <c r="AC154"/>
      <c r="AD154"/>
      <c r="AE154"/>
    </row>
    <row r="155" spans="29:31" ht="15">
      <c r="AC155"/>
      <c r="AD155"/>
      <c r="AE155"/>
    </row>
    <row r="156" spans="29:31" ht="15">
      <c r="AC156"/>
      <c r="AD156"/>
      <c r="AE156"/>
    </row>
    <row r="157" spans="29:31" ht="15">
      <c r="AC157"/>
      <c r="AD157"/>
      <c r="AE157"/>
    </row>
    <row r="158" spans="29:31" ht="15">
      <c r="AC158"/>
      <c r="AD158"/>
      <c r="AE158"/>
    </row>
    <row r="159" spans="29:31" ht="15">
      <c r="AC159"/>
      <c r="AD159"/>
      <c r="AE159"/>
    </row>
    <row r="160" spans="29:31" ht="15">
      <c r="AC160"/>
      <c r="AD160"/>
      <c r="AE160"/>
    </row>
    <row r="161" spans="29:31" ht="15">
      <c r="AC161"/>
      <c r="AD161"/>
      <c r="AE161"/>
    </row>
    <row r="162" spans="29:31" ht="15">
      <c r="AC162"/>
      <c r="AD162"/>
      <c r="AE162"/>
    </row>
    <row r="163" spans="29:31" ht="15">
      <c r="AC163"/>
      <c r="AD163"/>
      <c r="AE163"/>
    </row>
    <row r="164" spans="29:31" ht="15">
      <c r="AC164"/>
      <c r="AD164"/>
      <c r="AE164"/>
    </row>
    <row r="165" spans="29:31" ht="15">
      <c r="AC165"/>
      <c r="AD165"/>
      <c r="AE165"/>
    </row>
    <row r="166" spans="29:31" ht="15">
      <c r="AC166"/>
      <c r="AD166"/>
      <c r="AE166"/>
    </row>
    <row r="167" spans="29:31" ht="15">
      <c r="AC167"/>
      <c r="AD167"/>
      <c r="AE167"/>
    </row>
    <row r="168" spans="29:31" ht="15">
      <c r="AC168"/>
      <c r="AD168"/>
      <c r="AE168"/>
    </row>
    <row r="169" spans="29:31" ht="15">
      <c r="AC169"/>
      <c r="AD169"/>
      <c r="AE169"/>
    </row>
    <row r="170" spans="29:31" ht="15">
      <c r="AC170"/>
      <c r="AD170"/>
      <c r="AE170"/>
    </row>
    <row r="171" spans="29:31" ht="15">
      <c r="AC171"/>
      <c r="AD171"/>
      <c r="AE171"/>
    </row>
    <row r="172" spans="29:31" ht="15">
      <c r="AC172"/>
      <c r="AD172"/>
      <c r="AE172"/>
    </row>
    <row r="173" spans="29:31" ht="15">
      <c r="AC173"/>
      <c r="AD173"/>
      <c r="AE173"/>
    </row>
    <row r="174" spans="29:31" ht="15">
      <c r="AC174"/>
      <c r="AD174"/>
      <c r="AE174"/>
    </row>
    <row r="175" spans="29:31" ht="15">
      <c r="AC175"/>
      <c r="AD175"/>
      <c r="AE175"/>
    </row>
    <row r="176" spans="29:31" ht="15">
      <c r="AC176"/>
      <c r="AD176"/>
      <c r="AE176"/>
    </row>
    <row r="177" spans="29:31" ht="15">
      <c r="AC177"/>
      <c r="AD177"/>
      <c r="AE177"/>
    </row>
    <row r="178" spans="29:31" ht="15">
      <c r="AC178"/>
      <c r="AD178"/>
      <c r="AE178"/>
    </row>
    <row r="179" spans="29:31" ht="15">
      <c r="AC179"/>
      <c r="AD179"/>
      <c r="AE179"/>
    </row>
    <row r="180" spans="29:31" ht="15">
      <c r="AC180"/>
      <c r="AD180"/>
      <c r="AE180"/>
    </row>
    <row r="181" spans="29:31" ht="15">
      <c r="AC181"/>
      <c r="AD181"/>
      <c r="AE181"/>
    </row>
  </sheetData>
  <sheetProtection/>
  <mergeCells count="5">
    <mergeCell ref="F7:L7"/>
    <mergeCell ref="F8:G8"/>
    <mergeCell ref="F9:G9"/>
    <mergeCell ref="K8:L8"/>
    <mergeCell ref="K9:L9"/>
  </mergeCells>
  <conditionalFormatting sqref="F52:F54">
    <cfRule type="cellIs" priority="16" dxfId="12" operator="greaterThan" stopIfTrue="1">
      <formula>0</formula>
    </cfRule>
  </conditionalFormatting>
  <conditionalFormatting sqref="I17:I22 L17:L22 I25 L25">
    <cfRule type="cellIs" priority="17" dxfId="11" operator="lessThan" stopIfTrue="1">
      <formula>0</formula>
    </cfRule>
  </conditionalFormatting>
  <conditionalFormatting sqref="G26 F12 G13">
    <cfRule type="cellIs" priority="18" dxfId="10" operator="lessThan" stopIfTrue="1">
      <formula>0</formula>
    </cfRule>
  </conditionalFormatting>
  <conditionalFormatting sqref="G40">
    <cfRule type="expression" priority="19" dxfId="14" stopIfTrue="1">
      <formula>$W$2=1</formula>
    </cfRule>
  </conditionalFormatting>
  <conditionalFormatting sqref="I40">
    <cfRule type="expression" priority="20" dxfId="15" stopIfTrue="1">
      <formula>$W$2=1</formula>
    </cfRule>
  </conditionalFormatting>
  <conditionalFormatting sqref="I38">
    <cfRule type="expression" priority="21" dxfId="7" stopIfTrue="1">
      <formula>"$w$2=1"</formula>
    </cfRule>
  </conditionalFormatting>
  <conditionalFormatting sqref="G15">
    <cfRule type="cellIs" priority="22" dxfId="6" operator="equal" stopIfTrue="1">
      <formula>0</formula>
    </cfRule>
  </conditionalFormatting>
  <conditionalFormatting sqref="G42">
    <cfRule type="expression" priority="5" dxfId="16" stopIfTrue="1">
      <formula>goodwillperpartner&lt;=0</formula>
    </cfRule>
    <cfRule type="expression" priority="6" dxfId="0" stopIfTrue="1">
      <formula>goodwillperpartner&lt;=0</formula>
    </cfRule>
  </conditionalFormatting>
  <conditionalFormatting sqref="I42">
    <cfRule type="expression" priority="3" dxfId="16" stopIfTrue="1">
      <formula>goodwillperpartner&lt;=0</formula>
    </cfRule>
    <cfRule type="expression" priority="4" dxfId="0" stopIfTrue="1">
      <formula>goodwillperpartner&lt;=0</formula>
    </cfRule>
  </conditionalFormatting>
  <conditionalFormatting sqref="L42">
    <cfRule type="expression" priority="1" dxfId="16" stopIfTrue="1">
      <formula>goodwillperpartner&lt;=0</formula>
    </cfRule>
    <cfRule type="expression" priority="2" dxfId="0" stopIfTrue="1">
      <formula>goodwillperpartner&lt;=0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4" r:id="rId3"/>
  <legacyDrawing r:id="rId2"/>
</worksheet>
</file>

<file path=xl/worksheets/sheet7.xml><?xml version="1.0" encoding="utf-8"?>
<worksheet xmlns="http://schemas.openxmlformats.org/spreadsheetml/2006/main" xmlns:r="http://schemas.openxmlformats.org/officeDocument/2006/relationships">
  <sheetPr codeName="Sheet11">
    <tabColor rgb="FFFFC000"/>
    <pageSetUpPr fitToPage="1"/>
  </sheetPr>
  <dimension ref="B3:P49"/>
  <sheetViews>
    <sheetView showGridLines="0" showRowColHeaders="0" showZeros="0" showOutlineSymbols="0" zoomScalePageLayoutView="0" workbookViewId="0" topLeftCell="A1">
      <selection activeCell="G19" sqref="G19"/>
    </sheetView>
  </sheetViews>
  <sheetFormatPr defaultColWidth="9.140625" defaultRowHeight="12.75"/>
  <cols>
    <col min="3" max="3" width="5.421875" style="0" customWidth="1"/>
    <col min="4" max="4" width="3.7109375" style="0" customWidth="1"/>
    <col min="6" max="6" width="38.28125" style="0" customWidth="1"/>
    <col min="7" max="8" width="12.7109375" style="30" customWidth="1"/>
    <col min="11" max="11" width="0" style="0" hidden="1" customWidth="1"/>
    <col min="12" max="16" width="9.140625" style="0" hidden="1" customWidth="1"/>
  </cols>
  <sheetData>
    <row r="3" ht="12.75">
      <c r="K3" t="s">
        <v>9</v>
      </c>
    </row>
    <row r="4" spans="7:8" ht="12.75">
      <c r="G4"/>
      <c r="H4"/>
    </row>
    <row r="5" spans="7:14" ht="19.5" customHeight="1" hidden="1">
      <c r="G5"/>
      <c r="H5"/>
      <c r="M5" s="9" t="b">
        <v>0</v>
      </c>
      <c r="N5" s="9">
        <f>IF(M5=FALSE,0,1)</f>
        <v>0</v>
      </c>
    </row>
    <row r="6" spans="7:11" ht="12.75">
      <c r="G6"/>
      <c r="H6"/>
      <c r="K6" t="s">
        <v>9</v>
      </c>
    </row>
    <row r="7" spans="2:8" ht="12.75">
      <c r="B7" s="90" t="s">
        <v>301</v>
      </c>
      <c r="G7"/>
      <c r="H7"/>
    </row>
    <row r="8" spans="7:8" ht="12.75">
      <c r="G8"/>
      <c r="H8"/>
    </row>
    <row r="9" spans="2:9" ht="12.75">
      <c r="B9" s="336" t="s">
        <v>347</v>
      </c>
      <c r="C9" s="312"/>
      <c r="D9" s="312"/>
      <c r="E9" s="312"/>
      <c r="F9" s="312"/>
      <c r="G9" s="312"/>
      <c r="H9" s="312"/>
      <c r="I9" s="312"/>
    </row>
    <row r="10" spans="2:9" ht="12.75">
      <c r="B10" s="312"/>
      <c r="C10" s="312"/>
      <c r="D10" s="312"/>
      <c r="E10" s="312"/>
      <c r="F10" s="312"/>
      <c r="G10" s="312"/>
      <c r="H10" s="312"/>
      <c r="I10" s="312"/>
    </row>
    <row r="11" spans="2:9" ht="4.5" customHeight="1">
      <c r="B11" s="312"/>
      <c r="C11" s="312"/>
      <c r="D11" s="312"/>
      <c r="E11" s="312"/>
      <c r="F11" s="312"/>
      <c r="G11" s="312"/>
      <c r="H11" s="312"/>
      <c r="I11" s="312"/>
    </row>
    <row r="12" spans="2:9" ht="28.5" customHeight="1">
      <c r="B12" s="312"/>
      <c r="C12" s="312"/>
      <c r="D12" s="312"/>
      <c r="E12" s="312"/>
      <c r="F12" s="312"/>
      <c r="G12" s="312"/>
      <c r="H12" s="312"/>
      <c r="I12" s="312"/>
    </row>
    <row r="13" spans="2:9" ht="4.5" customHeight="1">
      <c r="B13" s="312"/>
      <c r="C13" s="312"/>
      <c r="D13" s="312"/>
      <c r="E13" s="312"/>
      <c r="F13" s="312"/>
      <c r="G13" s="312"/>
      <c r="H13" s="312"/>
      <c r="I13" s="312"/>
    </row>
    <row r="14" spans="2:9" ht="12.75">
      <c r="B14" s="312"/>
      <c r="C14" s="312"/>
      <c r="D14" s="312"/>
      <c r="E14" s="312"/>
      <c r="F14" s="312"/>
      <c r="G14" s="312"/>
      <c r="H14" s="312"/>
      <c r="I14" s="312"/>
    </row>
    <row r="15" spans="2:9" ht="12.75">
      <c r="B15" s="286"/>
      <c r="C15" s="286"/>
      <c r="D15" s="286"/>
      <c r="E15" s="286"/>
      <c r="F15" s="286"/>
      <c r="G15" s="286"/>
      <c r="H15" s="286"/>
      <c r="I15" s="286"/>
    </row>
    <row r="16" spans="2:9" ht="12.75">
      <c r="B16" s="286"/>
      <c r="C16" s="286"/>
      <c r="D16" s="286"/>
      <c r="E16" s="286"/>
      <c r="F16" s="286"/>
      <c r="G16" s="286"/>
      <c r="H16" s="286"/>
      <c r="I16" s="286"/>
    </row>
    <row r="17" spans="2:8" ht="12.75">
      <c r="B17" s="90" t="s">
        <v>302</v>
      </c>
      <c r="G17"/>
      <c r="H17"/>
    </row>
    <row r="18" spans="2:8" ht="12.75">
      <c r="B18" s="90"/>
      <c r="G18"/>
      <c r="H18"/>
    </row>
    <row r="19" spans="7:8" ht="12.75">
      <c r="G19"/>
      <c r="H19"/>
    </row>
    <row r="20" spans="7:8" ht="4.5" customHeight="1">
      <c r="G20"/>
      <c r="H20"/>
    </row>
    <row r="21" spans="2:8" ht="12.75">
      <c r="B21" s="1" t="s">
        <v>303</v>
      </c>
      <c r="G21" s="271">
        <v>0</v>
      </c>
      <c r="H21"/>
    </row>
    <row r="22" spans="7:8" ht="13.5" customHeight="1">
      <c r="G22"/>
      <c r="H22"/>
    </row>
    <row r="23" spans="7:8" ht="12.75" hidden="1">
      <c r="G23"/>
      <c r="H23"/>
    </row>
    <row r="24" spans="7:8" ht="12.75" hidden="1">
      <c r="G24"/>
      <c r="H24"/>
    </row>
    <row r="25" spans="2:8" ht="12.75">
      <c r="B25" s="90" t="s">
        <v>304</v>
      </c>
      <c r="G25">
        <f>numberofparts</f>
        <v>1</v>
      </c>
      <c r="H25"/>
    </row>
    <row r="26" spans="7:8" ht="12.75">
      <c r="G26"/>
      <c r="H26"/>
    </row>
    <row r="27" spans="2:8" ht="12.75">
      <c r="B27" s="90" t="s">
        <v>305</v>
      </c>
      <c r="G27" s="272">
        <f>G21/G25</f>
        <v>0</v>
      </c>
      <c r="H27"/>
    </row>
    <row r="28" spans="7:8" ht="12.75">
      <c r="G28" s="153"/>
      <c r="H28"/>
    </row>
    <row r="29" spans="2:8" ht="12.75">
      <c r="B29" s="90" t="s">
        <v>306</v>
      </c>
      <c r="G29" s="272">
        <f>cgtexempt</f>
        <v>11700</v>
      </c>
      <c r="H29"/>
    </row>
    <row r="30" spans="7:8" ht="12.75">
      <c r="G30" s="153"/>
      <c r="H30"/>
    </row>
    <row r="31" spans="2:8" ht="12.75">
      <c r="B31" s="90" t="s">
        <v>308</v>
      </c>
      <c r="G31" s="273">
        <f>IF(G27-G29&lt;0,0,G27-G29)</f>
        <v>0</v>
      </c>
      <c r="H31"/>
    </row>
    <row r="32" spans="7:8" ht="12.75">
      <c r="G32" s="153"/>
      <c r="H32"/>
    </row>
    <row r="33" spans="2:8" ht="12.75">
      <c r="B33" s="90" t="s">
        <v>344</v>
      </c>
      <c r="G33" s="274">
        <v>0.28</v>
      </c>
      <c r="H33" s="90" t="s">
        <v>348</v>
      </c>
    </row>
    <row r="34" spans="7:8" ht="12.75">
      <c r="G34"/>
      <c r="H34"/>
    </row>
    <row r="35" spans="2:8" ht="12.75">
      <c r="B35" s="90" t="s">
        <v>309</v>
      </c>
      <c r="G35" s="272">
        <f>G31*G33</f>
        <v>0</v>
      </c>
      <c r="H35"/>
    </row>
    <row r="36" spans="7:8" ht="12.75">
      <c r="G36"/>
      <c r="H36"/>
    </row>
    <row r="37" spans="2:7" ht="12.75">
      <c r="B37" s="90" t="s">
        <v>310</v>
      </c>
      <c r="G37" s="275">
        <f>G27-G35</f>
        <v>0</v>
      </c>
    </row>
    <row r="39" spans="2:7" ht="12.75">
      <c r="B39" s="90" t="s">
        <v>311</v>
      </c>
      <c r="G39" s="271">
        <v>5</v>
      </c>
    </row>
    <row r="41" spans="2:7" ht="12.75">
      <c r="B41" s="90" t="s">
        <v>316</v>
      </c>
      <c r="G41" s="272">
        <f>G21/G39</f>
        <v>0</v>
      </c>
    </row>
    <row r="43" spans="2:7" ht="12.75">
      <c r="B43" s="90" t="s">
        <v>317</v>
      </c>
      <c r="G43" s="272">
        <f>goodwillprofitdeduction/G25</f>
        <v>0</v>
      </c>
    </row>
    <row r="45" spans="2:7" ht="12.75">
      <c r="B45" s="90" t="s">
        <v>312</v>
      </c>
      <c r="G45" s="272">
        <f>G37/G39</f>
        <v>0</v>
      </c>
    </row>
    <row r="46" ht="12.75"/>
    <row r="47" spans="2:16" ht="12.75">
      <c r="B47" s="90" t="s">
        <v>313</v>
      </c>
      <c r="F47" s="90"/>
      <c r="G47" s="288" t="str">
        <f>IF(P47=1,"Yes","No")</f>
        <v>No</v>
      </c>
      <c r="L47" s="9">
        <v>1</v>
      </c>
      <c r="M47" s="9"/>
      <c r="N47" s="9"/>
      <c r="O47" s="278" t="s">
        <v>314</v>
      </c>
      <c r="P47" s="9">
        <v>2</v>
      </c>
    </row>
    <row r="48" spans="2:16" ht="12.75">
      <c r="B48" s="90" t="s">
        <v>345</v>
      </c>
      <c r="L48" s="9">
        <v>2</v>
      </c>
      <c r="M48" s="9"/>
      <c r="N48" s="9"/>
      <c r="O48" s="278" t="s">
        <v>315</v>
      </c>
      <c r="P48" s="9"/>
    </row>
    <row r="49" ht="12.75">
      <c r="B49" s="90" t="s">
        <v>346</v>
      </c>
    </row>
  </sheetData>
  <sheetProtection/>
  <mergeCells count="1">
    <mergeCell ref="B9:I1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Sheet8">
    <tabColor rgb="FFFF0000"/>
    <pageSetUpPr fitToPage="1"/>
  </sheetPr>
  <dimension ref="A4:AQ179"/>
  <sheetViews>
    <sheetView showGridLines="0" showRowColHeaders="0" showZeros="0" showOutlineSymbols="0" zoomScale="115" zoomScaleNormal="115" zoomScalePageLayoutView="0" workbookViewId="0" topLeftCell="A38">
      <selection activeCell="AO15" sqref="AO15"/>
    </sheetView>
  </sheetViews>
  <sheetFormatPr defaultColWidth="9.140625" defaultRowHeight="12.75"/>
  <cols>
    <col min="2" max="2" width="9.7109375" style="0" bestFit="1" customWidth="1"/>
    <col min="3" max="3" width="10.57421875" style="0" customWidth="1"/>
    <col min="4" max="4" width="10.140625" style="0" bestFit="1" customWidth="1"/>
    <col min="5" max="5" width="10.421875" style="6" customWidth="1"/>
    <col min="6" max="6" width="10.00390625" style="6" customWidth="1"/>
    <col min="7" max="7" width="16.421875" style="6" customWidth="1"/>
    <col min="8" max="8" width="11.28125" style="123" hidden="1" customWidth="1"/>
    <col min="9" max="9" width="0" style="6" hidden="1" customWidth="1"/>
    <col min="10" max="10" width="11.00390625" style="6" hidden="1" customWidth="1"/>
    <col min="11" max="11" width="10.8515625" style="6" hidden="1" customWidth="1"/>
    <col min="12" max="14" width="0" style="6" hidden="1" customWidth="1"/>
    <col min="15" max="15" width="0" style="0" hidden="1" customWidth="1"/>
    <col min="16" max="16" width="13.140625" style="0" hidden="1" customWidth="1"/>
    <col min="17" max="17" width="18.00390625" style="0" hidden="1" customWidth="1"/>
    <col min="18" max="28" width="0" style="0" hidden="1" customWidth="1"/>
    <col min="29" max="29" width="21.7109375" style="0" hidden="1" customWidth="1"/>
    <col min="30" max="32" width="0" style="0" hidden="1" customWidth="1"/>
    <col min="33" max="33" width="13.7109375" style="0" hidden="1" customWidth="1"/>
    <col min="34" max="39" width="0" style="0" hidden="1" customWidth="1"/>
    <col min="42" max="42" width="9.57421875" style="0" bestFit="1" customWidth="1"/>
  </cols>
  <sheetData>
    <row r="3" ht="15" customHeight="1"/>
    <row r="4" spans="1:16" ht="12.75">
      <c r="A4" s="125"/>
      <c r="B4" s="126" t="s">
        <v>143</v>
      </c>
      <c r="C4" s="127"/>
      <c r="D4" s="127"/>
      <c r="E4" s="128"/>
      <c r="F4" s="128"/>
      <c r="G4" s="128"/>
      <c r="H4" s="129"/>
      <c r="I4" s="128"/>
      <c r="J4" s="128"/>
      <c r="K4" s="128"/>
      <c r="L4" s="128"/>
      <c r="M4" s="128"/>
      <c r="N4" s="128"/>
      <c r="O4" s="125"/>
      <c r="P4" s="125"/>
    </row>
    <row r="5" spans="1:16" ht="12.75">
      <c r="A5" s="125"/>
      <c r="B5" s="125"/>
      <c r="C5" s="125"/>
      <c r="D5" s="125"/>
      <c r="E5" s="128"/>
      <c r="F5" s="128"/>
      <c r="G5" s="128"/>
      <c r="H5" s="129"/>
      <c r="I5" s="128"/>
      <c r="J5" s="128"/>
      <c r="K5" s="128"/>
      <c r="L5" s="128"/>
      <c r="M5" s="128"/>
      <c r="N5" s="128"/>
      <c r="O5" s="125"/>
      <c r="P5" s="125"/>
    </row>
    <row r="6" spans="1:16" ht="12.75">
      <c r="A6" s="125"/>
      <c r="B6" s="130" t="s">
        <v>144</v>
      </c>
      <c r="C6" s="125"/>
      <c r="D6" s="125"/>
      <c r="E6" s="128"/>
      <c r="F6" s="128"/>
      <c r="G6" s="128"/>
      <c r="H6" s="129"/>
      <c r="I6" s="131"/>
      <c r="J6" s="128"/>
      <c r="K6" s="128"/>
      <c r="L6" s="128"/>
      <c r="M6" s="128"/>
      <c r="N6" s="128"/>
      <c r="O6" s="125"/>
      <c r="P6" s="125"/>
    </row>
    <row r="7" spans="1:16" ht="12.75">
      <c r="A7" s="125"/>
      <c r="B7" s="125" t="s">
        <v>4</v>
      </c>
      <c r="C7" s="125"/>
      <c r="D7" s="125"/>
      <c r="E7" s="128"/>
      <c r="F7" s="128"/>
      <c r="G7" s="129">
        <f>profit2</f>
        <v>15000</v>
      </c>
      <c r="H7" s="129" t="s">
        <v>9</v>
      </c>
      <c r="I7" s="128"/>
      <c r="J7" s="128"/>
      <c r="K7" s="128"/>
      <c r="L7" s="128"/>
      <c r="M7" s="128"/>
      <c r="N7" s="128"/>
      <c r="O7" s="125"/>
      <c r="P7" s="125"/>
    </row>
    <row r="8" spans="1:16" ht="12.75">
      <c r="A8" s="125"/>
      <c r="B8" s="125"/>
      <c r="C8" s="125"/>
      <c r="D8" s="125"/>
      <c r="E8" s="128"/>
      <c r="F8" s="128"/>
      <c r="G8" s="128"/>
      <c r="H8" s="129"/>
      <c r="I8" s="128"/>
      <c r="J8" s="128"/>
      <c r="K8" s="128"/>
      <c r="L8" s="128"/>
      <c r="M8" s="128"/>
      <c r="N8" s="128"/>
      <c r="O8" s="125"/>
      <c r="P8" s="125"/>
    </row>
    <row r="9" spans="1:16" ht="12.75">
      <c r="A9" s="125"/>
      <c r="B9" s="125" t="s">
        <v>6</v>
      </c>
      <c r="C9" s="125"/>
      <c r="D9" s="128"/>
      <c r="E9" s="128"/>
      <c r="F9" s="128" t="s">
        <v>9</v>
      </c>
      <c r="G9" s="129">
        <f>pasole</f>
        <v>11850</v>
      </c>
      <c r="H9" s="129"/>
      <c r="I9" s="128"/>
      <c r="J9" s="128"/>
      <c r="K9" s="128"/>
      <c r="L9" s="128"/>
      <c r="M9" s="128"/>
      <c r="N9" s="128"/>
      <c r="O9" s="125"/>
      <c r="P9" s="125"/>
    </row>
    <row r="10" spans="1:16" ht="12.75">
      <c r="A10" s="125"/>
      <c r="B10" s="125" t="s">
        <v>134</v>
      </c>
      <c r="C10" s="125"/>
      <c r="D10" s="128"/>
      <c r="E10" s="128"/>
      <c r="F10" s="128"/>
      <c r="G10" s="128">
        <f>retannuity</f>
        <v>0</v>
      </c>
      <c r="H10" s="129"/>
      <c r="I10" s="128"/>
      <c r="J10" s="128"/>
      <c r="K10" s="128"/>
      <c r="L10" s="128"/>
      <c r="M10" s="128"/>
      <c r="N10" s="128"/>
      <c r="O10" s="125"/>
      <c r="P10" s="125"/>
    </row>
    <row r="11" spans="1:16" ht="12.75">
      <c r="A11" s="125"/>
      <c r="B11" s="125" t="s">
        <v>7</v>
      </c>
      <c r="C11" s="125"/>
      <c r="D11" s="128"/>
      <c r="E11" s="128"/>
      <c r="F11" s="128"/>
      <c r="G11" s="132">
        <f>IF(profit2-G9-G10&lt;0,0,profit2-G9-G10)</f>
        <v>3150</v>
      </c>
      <c r="H11" s="129"/>
      <c r="I11" s="128"/>
      <c r="J11" s="128"/>
      <c r="K11" s="128"/>
      <c r="L11" s="128"/>
      <c r="M11" s="128"/>
      <c r="N11" s="128"/>
      <c r="O11" s="125"/>
      <c r="P11" s="125"/>
    </row>
    <row r="12" spans="1:16" ht="12.75">
      <c r="A12" s="125"/>
      <c r="B12" s="125"/>
      <c r="C12" s="125"/>
      <c r="D12" s="133" t="s">
        <v>145</v>
      </c>
      <c r="E12" s="128"/>
      <c r="F12" s="128"/>
      <c r="G12" s="128"/>
      <c r="H12" s="129"/>
      <c r="I12" s="128"/>
      <c r="J12" s="128"/>
      <c r="K12" s="128"/>
      <c r="L12" s="128"/>
      <c r="M12" s="128"/>
      <c r="N12" s="128"/>
      <c r="O12" s="125"/>
      <c r="P12" s="125"/>
    </row>
    <row r="13" spans="1:22" ht="12.75">
      <c r="A13" s="125"/>
      <c r="B13" s="134">
        <f>tenpercentrate</f>
        <v>0</v>
      </c>
      <c r="C13" s="125" t="s">
        <v>9</v>
      </c>
      <c r="D13" s="128">
        <f>IF(hrateon=1,0,tenpercentband)</f>
        <v>2000</v>
      </c>
      <c r="E13" s="128">
        <f>IF(hrateon=1,0,IF(G11&gt;lowertax,lowertax,G11))</f>
        <v>2000</v>
      </c>
      <c r="F13" s="128">
        <f>IF(hrateon=1,0,E13*0.1)</f>
        <v>200</v>
      </c>
      <c r="G13" s="128"/>
      <c r="H13" s="129"/>
      <c r="I13" s="128"/>
      <c r="J13" s="128"/>
      <c r="K13" s="128"/>
      <c r="L13" s="128"/>
      <c r="M13" s="128"/>
      <c r="N13" s="128"/>
      <c r="O13" s="125"/>
      <c r="P13" s="125"/>
      <c r="R13" s="6">
        <f>G11-lowertax</f>
        <v>1150</v>
      </c>
      <c r="T13" t="s">
        <v>9</v>
      </c>
      <c r="V13" t="s">
        <v>9</v>
      </c>
    </row>
    <row r="14" spans="1:16" ht="12.75" hidden="1">
      <c r="A14" s="125"/>
      <c r="B14" s="125"/>
      <c r="C14" s="125"/>
      <c r="D14" s="128"/>
      <c r="E14" s="128"/>
      <c r="F14" s="128"/>
      <c r="G14" s="128"/>
      <c r="H14" s="129"/>
      <c r="I14" s="128"/>
      <c r="J14" s="128"/>
      <c r="K14" s="128"/>
      <c r="L14" s="128"/>
      <c r="M14" s="128"/>
      <c r="N14" s="128"/>
      <c r="O14" s="125"/>
      <c r="P14" s="125"/>
    </row>
    <row r="15" spans="1:16" ht="12.75">
      <c r="A15" s="125"/>
      <c r="B15" s="134">
        <f>basicrate</f>
        <v>0.2</v>
      </c>
      <c r="C15" s="125" t="s">
        <v>10</v>
      </c>
      <c r="D15" s="128">
        <f>IF(hrateon=1,0,basicrateband+pensioncont)</f>
        <v>34500</v>
      </c>
      <c r="E15" s="128">
        <f>IF(hrateon=1,0,IF(R13&lt;0,0,IF(R13&gt;D15,D15,R13)))</f>
        <v>1150</v>
      </c>
      <c r="F15" s="128">
        <f>IF(hrateon=1,0,E15*B15)</f>
        <v>230</v>
      </c>
      <c r="G15" s="128"/>
      <c r="H15" s="129"/>
      <c r="I15" s="128"/>
      <c r="J15" s="128"/>
      <c r="K15" s="128"/>
      <c r="L15" s="128"/>
      <c r="M15" s="128"/>
      <c r="N15" s="128"/>
      <c r="O15" s="125"/>
      <c r="P15" s="125"/>
    </row>
    <row r="16" spans="1:16" ht="12.75" hidden="1">
      <c r="A16" s="125"/>
      <c r="B16" s="125"/>
      <c r="C16" s="125"/>
      <c r="D16" s="128"/>
      <c r="E16" s="128"/>
      <c r="F16" s="128"/>
      <c r="G16" s="128"/>
      <c r="H16" s="129" t="s">
        <v>139</v>
      </c>
      <c r="I16" s="128"/>
      <c r="J16" s="128"/>
      <c r="K16" s="128"/>
      <c r="L16" s="128"/>
      <c r="M16" s="128"/>
      <c r="N16" s="128"/>
      <c r="O16" s="125"/>
      <c r="P16" s="125"/>
    </row>
    <row r="17" spans="1:43" ht="12.75">
      <c r="A17" s="125"/>
      <c r="B17" s="134">
        <v>0.4</v>
      </c>
      <c r="C17" s="125" t="s">
        <v>10</v>
      </c>
      <c r="D17" s="128">
        <f>IF(hrateon=1,0,IF(G11-D13-D15+hrtaxband2&gt;hrtaxband2,G11-D13-D15,hrtaxband2-lowertax-basictax))</f>
        <v>113500</v>
      </c>
      <c r="E17" s="128">
        <f>IF(hrateon=1,0,highertax)</f>
        <v>113500</v>
      </c>
      <c r="F17" s="205">
        <f>highertax*B17</f>
        <v>45400</v>
      </c>
      <c r="G17" s="135">
        <f>SUM(F13:F18)</f>
        <v>45830</v>
      </c>
      <c r="H17" s="129" t="s">
        <v>9</v>
      </c>
      <c r="I17" s="128"/>
      <c r="J17" s="128"/>
      <c r="K17" s="128"/>
      <c r="L17" s="128"/>
      <c r="M17" s="128"/>
      <c r="N17" s="128"/>
      <c r="O17" s="125"/>
      <c r="P17" s="125"/>
      <c r="AQ17" t="s">
        <v>9</v>
      </c>
    </row>
    <row r="18" spans="1:16" ht="12.75">
      <c r="A18" s="125"/>
      <c r="B18" s="195">
        <f>IF(chooseyear=1,higherratepercentage,higherratepercentage2)</f>
        <v>0.45</v>
      </c>
      <c r="C18" s="196" t="s">
        <v>10</v>
      </c>
      <c r="D18" s="128">
        <f>IF(hrateon=1,profit,IF(ChargeableIT&gt;hrtaxband2,ChargeableIT-D15-D17,0))</f>
        <v>0</v>
      </c>
      <c r="E18" s="128">
        <f>IF(hrateon=1,profit,D18)</f>
        <v>0</v>
      </c>
      <c r="F18" s="128">
        <f>IF(hrateon=1,profit*B18,E18*B18)</f>
        <v>0</v>
      </c>
      <c r="G18"/>
      <c r="H18" s="129"/>
      <c r="I18" s="128"/>
      <c r="J18" s="128"/>
      <c r="K18" s="128"/>
      <c r="L18" s="128"/>
      <c r="M18" s="128"/>
      <c r="N18" s="128"/>
      <c r="O18" s="125"/>
      <c r="P18" s="125"/>
    </row>
    <row r="19" spans="1:20" ht="12.75">
      <c r="A19" s="125"/>
      <c r="B19" s="125"/>
      <c r="C19" s="125"/>
      <c r="D19" s="131">
        <f>SUM(D13:D18)</f>
        <v>150000</v>
      </c>
      <c r="E19" s="131">
        <f>SUM(E13:E18)</f>
        <v>116650</v>
      </c>
      <c r="F19" s="131">
        <f>SUM(F13:F18)</f>
        <v>45830</v>
      </c>
      <c r="G19" s="128"/>
      <c r="H19" s="129"/>
      <c r="I19" s="128"/>
      <c r="J19" s="128"/>
      <c r="K19" s="128"/>
      <c r="L19" s="128"/>
      <c r="M19" s="128"/>
      <c r="N19" s="128"/>
      <c r="O19" s="125"/>
      <c r="P19" s="125"/>
      <c r="S19" s="106">
        <f>class4nirate1</f>
        <v>0.09</v>
      </c>
      <c r="T19" s="207">
        <f>class4nirate2</f>
        <v>0.09</v>
      </c>
    </row>
    <row r="20" spans="1:20" ht="12.75">
      <c r="A20" s="125"/>
      <c r="B20" s="125" t="s">
        <v>14</v>
      </c>
      <c r="C20" s="125" t="s">
        <v>12</v>
      </c>
      <c r="D20" s="129">
        <f>class4nilower</f>
        <v>8424</v>
      </c>
      <c r="E20" s="128"/>
      <c r="F20" s="128"/>
      <c r="G20" s="128"/>
      <c r="H20" s="129"/>
      <c r="I20" s="128"/>
      <c r="J20" s="128"/>
      <c r="K20" s="128"/>
      <c r="L20" s="128"/>
      <c r="M20" s="128"/>
      <c r="N20" s="128"/>
      <c r="O20" s="125"/>
      <c r="P20" s="125"/>
      <c r="S20" s="6">
        <f>IF(profit&gt;class4niupper,(class4niupper-class4nilower)*class4nirate1+excessnipercentrate*excessovernimax,(profit-class4nilower)*class4nirate1)</f>
        <v>591.84</v>
      </c>
      <c r="T20" s="6">
        <f>IF(profit&gt;class4niupper,(class4niupper-class4nilower)*class4nirate2+excessnipercentrate*excessovernimax,(profit-class4nilower)*class4nirate2)</f>
        <v>591.84</v>
      </c>
    </row>
    <row r="21" spans="1:16" ht="12.75">
      <c r="A21" s="125"/>
      <c r="B21" s="125"/>
      <c r="C21" s="125" t="s">
        <v>13</v>
      </c>
      <c r="D21" s="128">
        <f>class4niupper</f>
        <v>46350</v>
      </c>
      <c r="E21" s="128"/>
      <c r="F21" s="128"/>
      <c r="G21" s="129"/>
      <c r="H21" s="129"/>
      <c r="I21" s="128"/>
      <c r="J21" s="128"/>
      <c r="K21" s="128"/>
      <c r="L21" s="128"/>
      <c r="M21" s="128"/>
      <c r="N21" s="128"/>
      <c r="O21" s="125"/>
      <c r="P21" s="125"/>
    </row>
    <row r="22" spans="1:20" ht="12.75">
      <c r="A22" s="125"/>
      <c r="B22" s="125" t="s">
        <v>146</v>
      </c>
      <c r="C22" s="125"/>
      <c r="D22" s="128">
        <f>IF(profit2&gt;class4niupper,(class4niupper-class4nilower),(profit2-class4nilower))</f>
        <v>6576</v>
      </c>
      <c r="E22" s="128"/>
      <c r="F22" s="128"/>
      <c r="G22" s="129"/>
      <c r="H22" s="129"/>
      <c r="I22" s="128"/>
      <c r="J22" s="128"/>
      <c r="K22" s="128"/>
      <c r="L22" s="128"/>
      <c r="M22" s="128"/>
      <c r="N22" s="128"/>
      <c r="O22" s="125"/>
      <c r="P22" s="125"/>
      <c r="Q22">
        <f>IF(profit-class4niupper&gt;0,profit-class4niupper,0)</f>
        <v>0</v>
      </c>
      <c r="R22" t="s">
        <v>120</v>
      </c>
      <c r="T22" s="6">
        <f>(class4niupper-class4nilower)*class4nirate2</f>
        <v>3413.3399999999997</v>
      </c>
    </row>
    <row r="23" spans="1:20" ht="12.75">
      <c r="A23" s="125"/>
      <c r="B23" s="125"/>
      <c r="C23" s="125" t="s">
        <v>15</v>
      </c>
      <c r="D23" s="136">
        <f>IF(exemptni=1,0,IF(chooseyear=1,class4nirate1,class4nirate2))</f>
        <v>0.09</v>
      </c>
      <c r="E23" s="128"/>
      <c r="F23" s="128"/>
      <c r="G23" s="135">
        <f>IF(exemptni=1,0,IF(chooseyear=1,S20,T20))</f>
        <v>591.84</v>
      </c>
      <c r="H23" s="129"/>
      <c r="I23" s="128"/>
      <c r="J23" s="128"/>
      <c r="K23" s="128"/>
      <c r="L23" s="128"/>
      <c r="M23" s="128"/>
      <c r="N23" s="128"/>
      <c r="O23" s="125"/>
      <c r="P23" s="125"/>
      <c r="Q23" s="14">
        <f>IF(chooseyear=1,1%,1.5%)</f>
        <v>0.015</v>
      </c>
      <c r="R23" t="s">
        <v>121</v>
      </c>
      <c r="T23" s="6">
        <f>+Q22*Q23</f>
        <v>0</v>
      </c>
    </row>
    <row r="24" spans="1:20" ht="12.75">
      <c r="A24" s="125"/>
      <c r="B24" s="125" t="s">
        <v>9</v>
      </c>
      <c r="C24" s="125"/>
      <c r="D24" s="128"/>
      <c r="E24" s="128"/>
      <c r="F24" s="128"/>
      <c r="G24" s="128"/>
      <c r="H24" s="129"/>
      <c r="I24" s="128"/>
      <c r="J24" s="128"/>
      <c r="K24" s="128"/>
      <c r="L24" s="128"/>
      <c r="M24" s="128"/>
      <c r="N24" s="128"/>
      <c r="O24" s="125"/>
      <c r="P24" s="125"/>
      <c r="R24" s="1" t="s">
        <v>122</v>
      </c>
      <c r="T24" s="17">
        <f>SUM(T22:T23)</f>
        <v>3413.3399999999997</v>
      </c>
    </row>
    <row r="25" spans="1:16" ht="12.75">
      <c r="A25" s="125"/>
      <c r="B25" s="125" t="s">
        <v>49</v>
      </c>
      <c r="C25" s="125"/>
      <c r="D25" s="125"/>
      <c r="E25" s="128"/>
      <c r="F25" s="128"/>
      <c r="G25" s="135">
        <f>IF(exemptni=1,0,Class2Ni)</f>
        <v>153.4</v>
      </c>
      <c r="H25" s="129"/>
      <c r="I25" s="128"/>
      <c r="J25" s="128"/>
      <c r="K25" s="128" t="s">
        <v>9</v>
      </c>
      <c r="L25" s="128"/>
      <c r="M25" s="128"/>
      <c r="N25" s="128"/>
      <c r="O25" s="125"/>
      <c r="P25" s="125"/>
    </row>
    <row r="26" spans="1:16" ht="12.75">
      <c r="A26" s="125"/>
      <c r="B26" s="125"/>
      <c r="C26" s="125"/>
      <c r="D26" s="125"/>
      <c r="E26" s="128"/>
      <c r="F26" s="128"/>
      <c r="G26" s="128"/>
      <c r="H26" s="129"/>
      <c r="I26" s="128"/>
      <c r="J26" s="128"/>
      <c r="K26" s="128" t="s">
        <v>9</v>
      </c>
      <c r="L26" s="128"/>
      <c r="M26" s="128"/>
      <c r="N26" s="128"/>
      <c r="O26" s="125"/>
      <c r="P26" s="125"/>
    </row>
    <row r="27" spans="1:16" ht="13.5" thickBot="1">
      <c r="A27" s="125"/>
      <c r="B27" s="125" t="s">
        <v>147</v>
      </c>
      <c r="C27" s="125"/>
      <c r="D27" s="125"/>
      <c r="E27" s="128"/>
      <c r="F27" s="128"/>
      <c r="G27" s="137">
        <f>SUM(G17:G26)</f>
        <v>46575.24</v>
      </c>
      <c r="H27" s="129"/>
      <c r="I27" s="128"/>
      <c r="J27" s="128"/>
      <c r="K27" s="128"/>
      <c r="L27" s="128"/>
      <c r="M27" s="128"/>
      <c r="N27" s="128"/>
      <c r="O27" s="125"/>
      <c r="P27" s="125"/>
    </row>
    <row r="28" spans="1:16" ht="13.5" thickTop="1">
      <c r="A28" s="125"/>
      <c r="B28" s="125"/>
      <c r="C28" s="125"/>
      <c r="D28" s="125"/>
      <c r="E28" s="128"/>
      <c r="F28" s="128"/>
      <c r="G28" s="128"/>
      <c r="H28" s="129"/>
      <c r="I28" s="128"/>
      <c r="J28" s="128"/>
      <c r="K28" s="128"/>
      <c r="L28" s="128"/>
      <c r="M28" s="128"/>
      <c r="N28" s="128"/>
      <c r="O28" s="125"/>
      <c r="P28" s="125"/>
    </row>
    <row r="29" spans="1:16" ht="12.75">
      <c r="A29" s="125"/>
      <c r="B29" s="125"/>
      <c r="C29" s="125"/>
      <c r="D29" s="125"/>
      <c r="E29" s="128"/>
      <c r="F29" s="128"/>
      <c r="G29" s="128"/>
      <c r="H29" s="129"/>
      <c r="I29" s="128"/>
      <c r="J29" s="128"/>
      <c r="K29" s="128"/>
      <c r="L29" s="128"/>
      <c r="M29" s="128"/>
      <c r="N29" s="128"/>
      <c r="O29" s="125"/>
      <c r="P29" s="125"/>
    </row>
    <row r="30" spans="1:16" ht="12.75">
      <c r="A30" s="125"/>
      <c r="B30" s="125"/>
      <c r="C30" s="125"/>
      <c r="D30" s="128"/>
      <c r="E30" s="128"/>
      <c r="F30" s="128"/>
      <c r="G30" s="128"/>
      <c r="H30" s="129"/>
      <c r="I30" s="125"/>
      <c r="J30" s="125"/>
      <c r="K30" s="125"/>
      <c r="L30" s="125"/>
      <c r="M30" s="125"/>
      <c r="N30" s="125"/>
      <c r="O30" s="125"/>
      <c r="P30" s="125"/>
    </row>
    <row r="31" spans="1:16" ht="12.75">
      <c r="A31" s="125"/>
      <c r="B31" s="126" t="s">
        <v>148</v>
      </c>
      <c r="C31" s="127"/>
      <c r="D31" s="138"/>
      <c r="E31" s="128"/>
      <c r="F31" s="128"/>
      <c r="G31" s="128"/>
      <c r="H31" s="129"/>
      <c r="I31" s="125"/>
      <c r="J31" s="125"/>
      <c r="K31" s="125"/>
      <c r="L31" s="125"/>
      <c r="M31" s="125"/>
      <c r="N31" s="125"/>
      <c r="O31" s="125"/>
      <c r="P31" s="125"/>
    </row>
    <row r="32" spans="1:16" ht="12.75">
      <c r="A32" s="125"/>
      <c r="B32" s="125"/>
      <c r="C32" s="125"/>
      <c r="D32" s="128"/>
      <c r="E32" s="128"/>
      <c r="F32" s="128"/>
      <c r="G32" s="128"/>
      <c r="H32" s="129"/>
      <c r="I32" s="125"/>
      <c r="J32" s="125"/>
      <c r="K32" s="125"/>
      <c r="L32" s="125"/>
      <c r="M32" s="125"/>
      <c r="N32" s="125" t="s">
        <v>9</v>
      </c>
      <c r="O32" s="125"/>
      <c r="P32" s="125"/>
    </row>
    <row r="33" spans="1:16" ht="12.75">
      <c r="A33" s="125"/>
      <c r="B33" s="125" t="s">
        <v>70</v>
      </c>
      <c r="C33" s="125"/>
      <c r="D33" s="128"/>
      <c r="E33" s="128" t="s">
        <v>9</v>
      </c>
      <c r="F33" s="129" t="s">
        <v>9</v>
      </c>
      <c r="G33" s="129">
        <f>IF(ctaxprofit&lt;salcombined,ctaxprofit,salcombined)</f>
        <v>8424</v>
      </c>
      <c r="H33" s="129" t="s">
        <v>9</v>
      </c>
      <c r="I33" s="125"/>
      <c r="J33" s="125"/>
      <c r="K33" s="125"/>
      <c r="L33" s="125"/>
      <c r="M33" s="139" t="s">
        <v>9</v>
      </c>
      <c r="N33" s="125"/>
      <c r="O33" s="125"/>
      <c r="P33" s="125"/>
    </row>
    <row r="34" spans="1:16" ht="12.75">
      <c r="A34" s="125"/>
      <c r="B34" s="125" t="s">
        <v>149</v>
      </c>
      <c r="C34" s="125"/>
      <c r="D34" s="128"/>
      <c r="E34" s="140">
        <f>divpayablecombined</f>
        <v>5326.5599999999995</v>
      </c>
      <c r="F34" s="128">
        <f>F91</f>
        <v>591.8399999999999</v>
      </c>
      <c r="G34" s="128">
        <f>SUM(E34:F34)</f>
        <v>5918.4</v>
      </c>
      <c r="H34" s="129"/>
      <c r="I34" s="125"/>
      <c r="J34" s="125"/>
      <c r="K34" s="125"/>
      <c r="L34" s="125"/>
      <c r="M34" s="139" t="s">
        <v>9</v>
      </c>
      <c r="N34" s="125"/>
      <c r="O34" s="125"/>
      <c r="P34" s="125"/>
    </row>
    <row r="35" spans="1:16" ht="12.75">
      <c r="A35" s="125"/>
      <c r="B35" s="125" t="s">
        <v>153</v>
      </c>
      <c r="C35" s="125"/>
      <c r="D35" s="128"/>
      <c r="E35" s="128" t="s">
        <v>9</v>
      </c>
      <c r="F35" s="129" t="s">
        <v>9</v>
      </c>
      <c r="G35" s="141">
        <f>SUM(G33:G34)</f>
        <v>14342.4</v>
      </c>
      <c r="H35" s="129"/>
      <c r="I35" s="125"/>
      <c r="J35" s="125"/>
      <c r="K35" s="125"/>
      <c r="L35" s="125"/>
      <c r="M35" s="139" t="s">
        <v>9</v>
      </c>
      <c r="N35" s="125"/>
      <c r="O35" s="125"/>
      <c r="P35" s="125"/>
    </row>
    <row r="36" spans="1:16" ht="12.75">
      <c r="A36" s="125"/>
      <c r="B36" s="130" t="s">
        <v>150</v>
      </c>
      <c r="C36" s="125"/>
      <c r="D36" s="128"/>
      <c r="E36" s="128"/>
      <c r="F36" s="128" t="s">
        <v>9</v>
      </c>
      <c r="G36" s="128"/>
      <c r="H36" s="129"/>
      <c r="I36" s="125"/>
      <c r="J36" s="125"/>
      <c r="K36" s="125"/>
      <c r="L36" s="125"/>
      <c r="M36" s="125"/>
      <c r="N36" s="125"/>
      <c r="O36" s="125"/>
      <c r="P36" s="125"/>
    </row>
    <row r="37" spans="1:16" ht="12.75">
      <c r="A37" s="125"/>
      <c r="B37" s="125" t="s">
        <v>151</v>
      </c>
      <c r="C37" s="125"/>
      <c r="D37" s="128"/>
      <c r="E37" s="128"/>
      <c r="F37" s="128">
        <f>lelni</f>
        <v>8424</v>
      </c>
      <c r="G37" s="128"/>
      <c r="H37" s="129"/>
      <c r="I37" s="125"/>
      <c r="J37" s="125"/>
      <c r="K37" s="125"/>
      <c r="L37" s="125"/>
      <c r="M37" s="125"/>
      <c r="N37" s="125"/>
      <c r="O37" s="125"/>
      <c r="P37" s="125"/>
    </row>
    <row r="38" spans="1:16" ht="12.75">
      <c r="A38" s="125"/>
      <c r="B38" s="125" t="s">
        <v>54</v>
      </c>
      <c r="C38" s="125"/>
      <c r="D38" s="128"/>
      <c r="E38" s="128"/>
      <c r="F38" s="128">
        <f>IF(nicablemain-lelni&lt;0,0,nicablemain-lelni)</f>
        <v>0</v>
      </c>
      <c r="G38" s="128"/>
      <c r="H38" s="129"/>
      <c r="I38" s="125"/>
      <c r="J38" s="125"/>
      <c r="K38" s="125"/>
      <c r="L38" s="125"/>
      <c r="M38" s="125"/>
      <c r="N38" s="125"/>
      <c r="O38" s="125"/>
      <c r="P38" s="125"/>
    </row>
    <row r="39" spans="1:16" ht="12.75" hidden="1">
      <c r="A39" s="125"/>
      <c r="B39" s="125"/>
      <c r="C39" s="125"/>
      <c r="D39" s="128"/>
      <c r="E39" s="128"/>
      <c r="F39" s="128"/>
      <c r="G39" s="128"/>
      <c r="H39" s="129"/>
      <c r="I39" s="125"/>
      <c r="J39" s="131" t="str">
        <f>F33</f>
        <v> </v>
      </c>
      <c r="K39" s="131" t="str">
        <f>F33</f>
        <v> </v>
      </c>
      <c r="L39" s="125"/>
      <c r="M39" s="125"/>
      <c r="N39" s="125"/>
      <c r="O39" s="125"/>
      <c r="P39" s="125"/>
    </row>
    <row r="40" spans="1:16" ht="13.5" thickBot="1">
      <c r="A40" s="125"/>
      <c r="B40" s="130" t="s">
        <v>55</v>
      </c>
      <c r="C40" s="125"/>
      <c r="D40" s="128"/>
      <c r="E40" s="128"/>
      <c r="F40" s="137">
        <f>IF(chooseyear=1,J40,K40)</f>
        <v>0</v>
      </c>
      <c r="G40" s="128"/>
      <c r="H40" s="129"/>
      <c r="I40" s="125"/>
      <c r="J40" s="128">
        <f>ROUND(IF(nicablemain-lelni&lt;0,0,(nicablemain-lelni)*ersnirate1),2)</f>
        <v>0</v>
      </c>
      <c r="K40" s="128">
        <f>ROUND(IF(nicablemain-lelni&lt;0,0,(nicablemain-lelni)*ersnirate2),2)</f>
        <v>0</v>
      </c>
      <c r="L40" s="125"/>
      <c r="M40" s="125"/>
      <c r="N40" s="125"/>
      <c r="O40" s="125"/>
      <c r="P40" s="125"/>
    </row>
    <row r="41" spans="1:16" ht="13.5" thickTop="1">
      <c r="A41" s="125"/>
      <c r="B41" s="125" t="s">
        <v>9</v>
      </c>
      <c r="C41" s="125"/>
      <c r="D41" s="128"/>
      <c r="E41" s="128"/>
      <c r="F41" s="131" t="s">
        <v>9</v>
      </c>
      <c r="G41" s="128"/>
      <c r="H41" s="129"/>
      <c r="I41" s="125"/>
      <c r="J41" s="125"/>
      <c r="K41" s="125"/>
      <c r="L41" s="125"/>
      <c r="M41" s="125"/>
      <c r="N41" s="125"/>
      <c r="O41" s="125"/>
      <c r="P41" s="125"/>
    </row>
    <row r="42" spans="1:16" ht="12.75">
      <c r="A42" s="125"/>
      <c r="B42" s="130" t="s">
        <v>152</v>
      </c>
      <c r="C42" s="125"/>
      <c r="D42" s="128"/>
      <c r="E42" s="128"/>
      <c r="F42" s="128"/>
      <c r="G42" s="128"/>
      <c r="H42" s="129"/>
      <c r="I42" s="125"/>
      <c r="J42" s="128" t="s">
        <v>9</v>
      </c>
      <c r="K42" s="125"/>
      <c r="L42" s="125" t="s">
        <v>161</v>
      </c>
      <c r="M42" s="128">
        <f>G33-saldivpa</f>
        <v>-3426</v>
      </c>
      <c r="N42" s="125">
        <f>IF(M42&lt;0,0,M42)</f>
        <v>0</v>
      </c>
      <c r="O42" s="125"/>
      <c r="P42" s="125"/>
    </row>
    <row r="43" spans="1:16" ht="12.75" hidden="1">
      <c r="A43" s="125"/>
      <c r="B43" s="125"/>
      <c r="C43" s="125"/>
      <c r="D43" s="128"/>
      <c r="E43" s="128"/>
      <c r="F43" s="129"/>
      <c r="G43" s="128"/>
      <c r="H43" s="129"/>
      <c r="I43" s="125"/>
      <c r="J43" s="125"/>
      <c r="K43" s="125"/>
      <c r="L43" s="125"/>
      <c r="M43" s="125"/>
      <c r="N43" s="125"/>
      <c r="O43" s="125"/>
      <c r="P43" s="125"/>
    </row>
    <row r="44" spans="1:16" ht="12.75" hidden="1">
      <c r="A44" s="125"/>
      <c r="B44" s="125"/>
      <c r="C44" s="125"/>
      <c r="D44" s="128"/>
      <c r="E44" s="128"/>
      <c r="F44" s="128"/>
      <c r="G44" s="128"/>
      <c r="H44" s="129"/>
      <c r="I44" s="125"/>
      <c r="J44" s="125"/>
      <c r="K44" s="125"/>
      <c r="L44" s="125"/>
      <c r="M44" s="125"/>
      <c r="N44" s="125"/>
      <c r="O44" s="125"/>
      <c r="P44" s="125"/>
    </row>
    <row r="45" spans="1:16" ht="12.75" hidden="1">
      <c r="A45" s="125"/>
      <c r="B45" s="125"/>
      <c r="C45" s="125"/>
      <c r="D45" s="128"/>
      <c r="E45" s="128"/>
      <c r="F45" s="128"/>
      <c r="G45" s="128"/>
      <c r="H45" s="129"/>
      <c r="I45" s="125"/>
      <c r="J45" s="125"/>
      <c r="K45" s="125"/>
      <c r="L45" s="125"/>
      <c r="M45" s="125"/>
      <c r="N45" s="125"/>
      <c r="O45" s="125"/>
      <c r="P45" s="125"/>
    </row>
    <row r="46" spans="1:16" ht="12.75">
      <c r="A46" s="125"/>
      <c r="B46" s="125" t="s">
        <v>6</v>
      </c>
      <c r="C46" s="125"/>
      <c r="D46" s="128"/>
      <c r="E46" s="128" t="s">
        <v>9</v>
      </c>
      <c r="F46" s="129">
        <f>saldivpa</f>
        <v>11850</v>
      </c>
      <c r="G46" s="128"/>
      <c r="H46" s="129"/>
      <c r="I46" s="125"/>
      <c r="J46" s="125"/>
      <c r="K46" s="125"/>
      <c r="L46" s="125"/>
      <c r="M46" s="125"/>
      <c r="N46" s="125">
        <f>IF(G33&lt;F46,F46-G33,0)</f>
        <v>3426</v>
      </c>
      <c r="O46" s="125"/>
      <c r="P46" s="125"/>
    </row>
    <row r="47" spans="1:30" ht="12.75">
      <c r="A47" s="125"/>
      <c r="B47" s="125" t="s">
        <v>134</v>
      </c>
      <c r="C47" s="125"/>
      <c r="D47" s="128"/>
      <c r="E47" s="128"/>
      <c r="F47" s="142">
        <f>retannuity</f>
        <v>0</v>
      </c>
      <c r="G47" s="142">
        <f>SUM(F46:F47)</f>
        <v>11850</v>
      </c>
      <c r="H47" s="129"/>
      <c r="I47" s="125"/>
      <c r="J47" s="125"/>
      <c r="K47" s="125"/>
      <c r="L47" s="125"/>
      <c r="M47" s="125">
        <f>twentytwopercentband+pensioncont</f>
        <v>34500</v>
      </c>
      <c r="N47" s="125"/>
      <c r="O47" s="125"/>
      <c r="P47" s="125"/>
      <c r="AC47" s="5"/>
      <c r="AD47" s="5"/>
    </row>
    <row r="48" spans="1:30" ht="12.75">
      <c r="A48" s="125"/>
      <c r="B48" s="125" t="s">
        <v>7</v>
      </c>
      <c r="C48" s="125"/>
      <c r="D48" s="128"/>
      <c r="E48" s="128"/>
      <c r="F48" s="128" t="s">
        <v>9</v>
      </c>
      <c r="G48" s="131">
        <f>IF((G35-saldivpa-retannuity)&lt;0,0,(G35-saldivpa-retannuity))</f>
        <v>2492.3999999999996</v>
      </c>
      <c r="H48" s="129" t="s">
        <v>9</v>
      </c>
      <c r="I48" s="125"/>
      <c r="J48" s="125"/>
      <c r="K48" s="128">
        <f>+G48</f>
        <v>2492.3999999999996</v>
      </c>
      <c r="L48" s="125"/>
      <c r="M48" s="125"/>
      <c r="N48" s="125"/>
      <c r="O48" s="125"/>
      <c r="P48" s="125"/>
      <c r="AC48" s="5"/>
      <c r="AD48" s="5"/>
    </row>
    <row r="49" spans="1:30" ht="12.75">
      <c r="A49" s="125"/>
      <c r="B49" s="125"/>
      <c r="C49" s="125"/>
      <c r="D49" s="133" t="s">
        <v>145</v>
      </c>
      <c r="E49" s="128"/>
      <c r="F49" s="128"/>
      <c r="G49" s="128"/>
      <c r="H49" s="129"/>
      <c r="I49" s="125"/>
      <c r="J49" s="125"/>
      <c r="K49" s="128">
        <f>basicrateband-tenpercentband+E50</f>
        <v>34500</v>
      </c>
      <c r="L49" s="125"/>
      <c r="M49" s="125"/>
      <c r="N49" s="125"/>
      <c r="O49" s="125"/>
      <c r="P49" s="125"/>
      <c r="AC49" s="5"/>
      <c r="AD49" s="5"/>
    </row>
    <row r="50" spans="1:30" ht="12.75">
      <c r="A50" s="125"/>
      <c r="B50" s="134">
        <f>tenpercentrate</f>
        <v>0</v>
      </c>
      <c r="C50" s="125" t="s">
        <v>10</v>
      </c>
      <c r="D50" s="128">
        <f>tenpercentband</f>
        <v>2000</v>
      </c>
      <c r="E50" s="128">
        <f>IF(hrateon=1,0,IF(G48&gt;tenpercentband,tenpercentband,N42))</f>
        <v>2000</v>
      </c>
      <c r="F50" s="128">
        <f>IF(hrateon=1,0,E50*0.1)</f>
        <v>200</v>
      </c>
      <c r="G50" s="128"/>
      <c r="H50" s="129"/>
      <c r="I50" s="125"/>
      <c r="J50" s="125"/>
      <c r="K50" s="128">
        <f>+K48-K49</f>
        <v>-32007.6</v>
      </c>
      <c r="L50" s="125"/>
      <c r="M50" s="125">
        <f>IF(chargeabletotaxsalcombined&lt;=0,0,chargeabletotaxsalcombined)</f>
        <v>0</v>
      </c>
      <c r="N50" s="125"/>
      <c r="O50" s="125"/>
      <c r="P50" s="125"/>
      <c r="R50" s="6">
        <f>G48-lowertax</f>
        <v>492.39999999999964</v>
      </c>
      <c r="AC50" s="5"/>
      <c r="AD50" s="5"/>
    </row>
    <row r="51" spans="1:30" ht="12.75" hidden="1">
      <c r="A51" s="125"/>
      <c r="B51" s="125"/>
      <c r="C51" s="125"/>
      <c r="D51" s="128"/>
      <c r="E51" s="128"/>
      <c r="F51" s="128"/>
      <c r="G51" s="128"/>
      <c r="H51" s="129"/>
      <c r="I51" s="125"/>
      <c r="J51" s="125"/>
      <c r="K51" s="125"/>
      <c r="L51" s="125"/>
      <c r="M51" s="125">
        <f>IF(chargeabletotaxsalcombined&gt;D50,D50*10%,chargeabletotaxsalcombined*10%)</f>
        <v>0</v>
      </c>
      <c r="N51" s="125"/>
      <c r="O51" s="125"/>
      <c r="P51" s="125"/>
      <c r="AC51" s="5"/>
      <c r="AD51" s="5"/>
    </row>
    <row r="52" spans="1:30" ht="12.75">
      <c r="A52" s="125"/>
      <c r="B52" s="134">
        <v>0.1</v>
      </c>
      <c r="C52" s="125" t="s">
        <v>162</v>
      </c>
      <c r="D52" s="128"/>
      <c r="E52" s="128">
        <f>IF(hrateon=1,0,IF(G48&lt;twentytwopercentband+tenpercentband,G48-E50-E53,twentytwopercentband-E53))</f>
        <v>492.39999999999964</v>
      </c>
      <c r="F52" s="128">
        <f>E52*B52</f>
        <v>49.23999999999997</v>
      </c>
      <c r="G52" s="128"/>
      <c r="H52" s="129"/>
      <c r="I52" s="125" t="s">
        <v>187</v>
      </c>
      <c r="J52" s="125"/>
      <c r="K52" s="125"/>
      <c r="L52" s="125"/>
      <c r="M52" s="125" t="s">
        <v>9</v>
      </c>
      <c r="N52" s="125"/>
      <c r="O52" s="125"/>
      <c r="P52" s="125"/>
      <c r="AC52" s="5"/>
      <c r="AD52" s="5"/>
    </row>
    <row r="53" spans="1:30" ht="12.75">
      <c r="A53" s="125"/>
      <c r="B53" s="134">
        <f>basicrate</f>
        <v>0.2</v>
      </c>
      <c r="C53" s="125" t="s">
        <v>10</v>
      </c>
      <c r="D53" s="128">
        <f>IF(hrateon=1,0,basicrateband+pensioncont)</f>
        <v>34500</v>
      </c>
      <c r="E53" s="128">
        <f>IF(M50&lt;tenpercentband,0,IF((+M50-E50)&lt;D53,(+M50-E50),(IF(M50&gt;D53,D53))))</f>
        <v>0</v>
      </c>
      <c r="F53" s="128">
        <f>IF(hrateon=1,0,E53*B53)</f>
        <v>0</v>
      </c>
      <c r="G53" s="128"/>
      <c r="H53" s="129"/>
      <c r="I53" s="125"/>
      <c r="J53" s="125"/>
      <c r="K53" s="128">
        <f>G33</f>
        <v>8424</v>
      </c>
      <c r="L53" s="125"/>
      <c r="M53" s="125" t="s">
        <v>9</v>
      </c>
      <c r="N53" s="125"/>
      <c r="O53" s="125"/>
      <c r="P53" s="125"/>
      <c r="AC53" s="5"/>
      <c r="AD53" s="5"/>
    </row>
    <row r="54" spans="1:42" ht="12.75">
      <c r="A54" s="125"/>
      <c r="B54" s="136">
        <v>0.325</v>
      </c>
      <c r="C54" s="125" t="s">
        <v>10</v>
      </c>
      <c r="D54" s="128">
        <f>Calculations!$E$177</f>
        <v>0</v>
      </c>
      <c r="E54" s="128">
        <f>IF(grossdiv-highertaxdivs-$D$53&lt;0,grossdiv-highertaxdivs-$D$53,0)</f>
        <v>-28581.6</v>
      </c>
      <c r="F54" s="128">
        <f>E54*B54</f>
        <v>-9289.02</v>
      </c>
      <c r="G54" s="128"/>
      <c r="H54" s="129"/>
      <c r="I54" s="125" t="s">
        <v>9</v>
      </c>
      <c r="J54" s="125"/>
      <c r="K54" s="128">
        <f>F46</f>
        <v>11850</v>
      </c>
      <c r="L54" s="125"/>
      <c r="M54" s="5">
        <f>test22percentdiv</f>
        <v>0</v>
      </c>
      <c r="N54" s="125"/>
      <c r="O54" s="125"/>
      <c r="P54" s="125"/>
      <c r="R54" s="128">
        <f>IF(hrateon=1,grossdiv,IF($G$48-$D$53-$D$50-$D$56&gt;0,$G$48-$D$50-$D$53-$D$56,0))</f>
        <v>0</v>
      </c>
      <c r="AC54" s="5"/>
      <c r="AD54" s="5"/>
      <c r="AP54">
        <f>highertaxdivs</f>
        <v>0</v>
      </c>
    </row>
    <row r="55" spans="1:42" ht="12.75">
      <c r="A55" s="125"/>
      <c r="B55" s="136">
        <f>divtaxhr2</f>
        <v>0.381</v>
      </c>
      <c r="C55" s="125" t="s">
        <v>10</v>
      </c>
      <c r="D55" s="128">
        <f>IF(G48-D53-highertaxdivs-D56-D57+hrtaxband2&gt;hrtaxband2,G48-D53-highertaxdivs-D56-D57,0)</f>
        <v>0</v>
      </c>
      <c r="E55" s="128">
        <f>IF(hrateon=1,grossdiv,IF(grossdiv-highertaxdivs-$D$53&gt;0,grossdiv-highertaxdivs-$D$53,0))</f>
        <v>0</v>
      </c>
      <c r="F55" s="128">
        <f>D55*B55</f>
        <v>0</v>
      </c>
      <c r="G55" s="128"/>
      <c r="H55" s="129"/>
      <c r="I55" s="125"/>
      <c r="J55" s="125"/>
      <c r="K55" s="128"/>
      <c r="L55" s="125"/>
      <c r="M55" s="5"/>
      <c r="N55" s="125"/>
      <c r="O55" s="125"/>
      <c r="P55" s="125"/>
      <c r="AC55" s="5"/>
      <c r="AD55" s="5"/>
      <c r="AP55" s="6" t="s">
        <v>9</v>
      </c>
    </row>
    <row r="56" spans="1:30" ht="12.75">
      <c r="A56" s="125"/>
      <c r="B56" s="134">
        <v>0.4</v>
      </c>
      <c r="C56" s="125" t="s">
        <v>10</v>
      </c>
      <c r="D56" s="128">
        <f>IF(hrateon=1,0,IF($G$33-$D$50-$D$53-saldivpa-retannuity&lt;0,0,(IF($G$33-$D$50-$D$53-saldivpa-retannuity&gt;hrtaxband2,hrtaxband2-$D$50-$D$53,$G$33-$D$50-$D$53-saldivpa-retannuity))))</f>
        <v>0</v>
      </c>
      <c r="E56" s="128">
        <f>D56</f>
        <v>0</v>
      </c>
      <c r="F56" s="128">
        <f>(E56*B56)</f>
        <v>0</v>
      </c>
      <c r="G56" s="128">
        <f>SUM(F50:F56)</f>
        <v>-9039.78</v>
      </c>
      <c r="H56" s="129"/>
      <c r="I56" s="128" t="s">
        <v>9</v>
      </c>
      <c r="J56" s="125"/>
      <c r="K56" s="128">
        <f>F47</f>
        <v>0</v>
      </c>
      <c r="L56" s="125"/>
      <c r="M56" s="139">
        <f>IF((test22percentcombined-D53)&gt;0,+D53*B53,test22percentcombined*B53)</f>
        <v>0</v>
      </c>
      <c r="N56" s="125"/>
      <c r="O56" s="125"/>
      <c r="P56" s="125"/>
      <c r="AC56" s="5"/>
      <c r="AD56" s="5"/>
    </row>
    <row r="57" spans="1:30" ht="12.75">
      <c r="A57" s="125"/>
      <c r="B57" s="195">
        <f>IF(chooseyear=1,higherratepercentage,higherratepercentage2)</f>
        <v>0.45</v>
      </c>
      <c r="C57" s="196" t="s">
        <v>10</v>
      </c>
      <c r="D57" s="128">
        <f>IF(hrateon=1,G33,IF($G$33-$D$50-$D$53-saldivpa-retannuity&gt;hrtaxband2,G33-hrtaxband2,0))</f>
        <v>0</v>
      </c>
      <c r="E57" s="128">
        <f>D57</f>
        <v>0</v>
      </c>
      <c r="F57" s="128">
        <f>E57*B57</f>
        <v>0</v>
      </c>
      <c r="G57" s="128">
        <f>F57</f>
        <v>0</v>
      </c>
      <c r="H57" s="129"/>
      <c r="I57" s="128"/>
      <c r="J57" s="125"/>
      <c r="K57" s="128"/>
      <c r="L57" s="125"/>
      <c r="M57" s="139"/>
      <c r="N57" s="125"/>
      <c r="O57" s="125"/>
      <c r="P57" s="125"/>
      <c r="AC57" s="5"/>
      <c r="AD57" s="5"/>
    </row>
    <row r="58" spans="1:30" ht="12.75">
      <c r="A58" s="125"/>
      <c r="B58" s="134"/>
      <c r="C58" s="125"/>
      <c r="D58" s="143">
        <f>SUM(D50:D57)</f>
        <v>36500</v>
      </c>
      <c r="E58" s="143">
        <f>SUM(E50:E57)</f>
        <v>-26089.199999999997</v>
      </c>
      <c r="F58" s="129"/>
      <c r="G58" s="128"/>
      <c r="H58" s="129"/>
      <c r="I58" s="128"/>
      <c r="J58" s="125"/>
      <c r="K58" s="128">
        <f>+K53-K54-K56</f>
        <v>-3426</v>
      </c>
      <c r="L58" s="125"/>
      <c r="M58" s="139"/>
      <c r="N58" s="125"/>
      <c r="O58" s="125"/>
      <c r="P58" s="125"/>
      <c r="AC58" s="5"/>
      <c r="AD58" s="5"/>
    </row>
    <row r="59" spans="1:30" ht="12.75">
      <c r="A59" s="125"/>
      <c r="B59" s="134" t="s">
        <v>157</v>
      </c>
      <c r="C59" s="125"/>
      <c r="D59" s="128"/>
      <c r="E59" s="128"/>
      <c r="F59" s="129" t="str">
        <f>IF(K58&lt;0,"restricted","")</f>
        <v>restricted</v>
      </c>
      <c r="G59" s="128">
        <f>-(F34+K59)</f>
        <v>-249.2399999999999</v>
      </c>
      <c r="H59" s="129"/>
      <c r="I59" s="128"/>
      <c r="J59" s="125"/>
      <c r="K59" s="125">
        <f>IF(K58*10%&lt;0,K58*10%,0)</f>
        <v>-342.6</v>
      </c>
      <c r="L59" s="125" t="s">
        <v>186</v>
      </c>
      <c r="M59" s="139"/>
      <c r="N59" s="125"/>
      <c r="O59" s="125"/>
      <c r="P59" s="125"/>
      <c r="AC59" s="5"/>
      <c r="AD59" s="5"/>
    </row>
    <row r="60" spans="1:30" ht="13.5" thickBot="1">
      <c r="A60" s="125"/>
      <c r="B60" s="144" t="s">
        <v>158</v>
      </c>
      <c r="C60" s="125"/>
      <c r="D60" s="128"/>
      <c r="E60" s="128"/>
      <c r="F60" s="129"/>
      <c r="G60" s="137">
        <f>SUM(G54:G59)</f>
        <v>-9289.02</v>
      </c>
      <c r="H60" s="129"/>
      <c r="I60" s="128"/>
      <c r="J60" s="125"/>
      <c r="K60" s="125"/>
      <c r="L60" s="125"/>
      <c r="M60" s="139"/>
      <c r="N60" s="125"/>
      <c r="O60" s="125"/>
      <c r="P60" s="125"/>
      <c r="AC60" s="5"/>
      <c r="AD60" s="5"/>
    </row>
    <row r="61" spans="1:30" ht="12.75" hidden="1">
      <c r="A61" s="125"/>
      <c r="B61" s="134"/>
      <c r="C61" s="125"/>
      <c r="D61" s="128"/>
      <c r="E61" s="128"/>
      <c r="F61" s="129"/>
      <c r="G61" s="128"/>
      <c r="H61" s="129"/>
      <c r="I61" s="128"/>
      <c r="J61" s="125"/>
      <c r="K61" s="125"/>
      <c r="L61" s="125"/>
      <c r="M61" s="139"/>
      <c r="N61" s="125"/>
      <c r="O61" s="125"/>
      <c r="P61" s="125"/>
      <c r="AC61" s="5"/>
      <c r="AD61" s="5"/>
    </row>
    <row r="62" spans="1:30" ht="13.5" thickTop="1">
      <c r="A62" s="125"/>
      <c r="B62" s="134"/>
      <c r="C62" s="125"/>
      <c r="D62" s="128">
        <f>hrtaxband2</f>
        <v>150000</v>
      </c>
      <c r="E62" s="128"/>
      <c r="F62" s="129" t="s">
        <v>9</v>
      </c>
      <c r="G62" s="128"/>
      <c r="H62" s="129"/>
      <c r="I62" s="128"/>
      <c r="J62" s="125"/>
      <c r="K62" s="125"/>
      <c r="L62" s="125"/>
      <c r="M62" s="139"/>
      <c r="N62" s="125"/>
      <c r="O62" s="125"/>
      <c r="P62" s="125"/>
      <c r="AC62" s="5"/>
      <c r="AD62" s="5"/>
    </row>
    <row r="63" spans="1:30" ht="12.75">
      <c r="A63" s="125"/>
      <c r="B63" s="130" t="s">
        <v>156</v>
      </c>
      <c r="C63" s="125"/>
      <c r="D63" s="125"/>
      <c r="E63" s="128"/>
      <c r="F63" s="128"/>
      <c r="G63" s="128"/>
      <c r="H63" s="129"/>
      <c r="I63" s="125"/>
      <c r="J63" s="125"/>
      <c r="K63" s="125"/>
      <c r="L63" s="125"/>
      <c r="M63" s="139" t="s">
        <v>9</v>
      </c>
      <c r="N63" s="125"/>
      <c r="O63" s="125"/>
      <c r="P63" s="125"/>
      <c r="AC63" s="5"/>
      <c r="AD63" s="5"/>
    </row>
    <row r="64" spans="1:30" ht="12.75">
      <c r="A64" s="125"/>
      <c r="B64" s="125" t="s">
        <v>64</v>
      </c>
      <c r="C64" s="125" t="s">
        <v>12</v>
      </c>
      <c r="D64" s="129">
        <f>lelni</f>
        <v>8424</v>
      </c>
      <c r="E64" s="128"/>
      <c r="F64" s="128"/>
      <c r="G64" s="128"/>
      <c r="H64" s="129"/>
      <c r="I64" s="125"/>
      <c r="J64" s="125"/>
      <c r="K64" s="125"/>
      <c r="L64" s="125"/>
      <c r="M64" s="139">
        <f>IF(chargeabletotaxsalcombined-D50-D53&gt;0,(chargeabletotaxsalcombined-D50-D53)*B56,0)</f>
        <v>0</v>
      </c>
      <c r="N64" s="125"/>
      <c r="O64" s="125"/>
      <c r="P64" s="125"/>
      <c r="AC64" s="5"/>
      <c r="AD64" s="5"/>
    </row>
    <row r="65" spans="1:30" ht="12.75">
      <c r="A65" s="125"/>
      <c r="B65" s="125"/>
      <c r="C65" s="125" t="s">
        <v>13</v>
      </c>
      <c r="D65" s="128">
        <f>Calculations!$D$17</f>
        <v>46350</v>
      </c>
      <c r="E65" s="128"/>
      <c r="F65" s="128"/>
      <c r="G65" s="128"/>
      <c r="H65" s="129"/>
      <c r="I65" s="125"/>
      <c r="J65" s="134">
        <f>eesrate1</f>
        <v>0.12</v>
      </c>
      <c r="K65" s="134">
        <f>eesrate2</f>
        <v>0.12</v>
      </c>
      <c r="L65" s="125"/>
      <c r="M65" s="139" t="s">
        <v>9</v>
      </c>
      <c r="N65" s="125"/>
      <c r="O65" s="125"/>
      <c r="P65" s="125"/>
      <c r="AC65" s="5"/>
      <c r="AD65" s="5"/>
    </row>
    <row r="66" spans="1:30" ht="12.75" hidden="1">
      <c r="A66" s="125"/>
      <c r="B66" s="125"/>
      <c r="C66" s="125"/>
      <c r="D66" s="128"/>
      <c r="E66" s="128"/>
      <c r="F66" s="128"/>
      <c r="G66" s="128"/>
      <c r="H66" s="129"/>
      <c r="I66" s="125"/>
      <c r="J66" s="134"/>
      <c r="K66" s="134"/>
      <c r="L66" s="125"/>
      <c r="M66" s="139"/>
      <c r="N66" s="125"/>
      <c r="O66" s="125"/>
      <c r="P66" s="125"/>
      <c r="AC66" s="5"/>
      <c r="AD66" s="5"/>
    </row>
    <row r="67" spans="1:30" ht="13.5" thickBot="1">
      <c r="A67" s="125"/>
      <c r="B67" s="125"/>
      <c r="C67" s="125" t="s">
        <v>15</v>
      </c>
      <c r="D67" s="136">
        <f>eesnirate</f>
        <v>0.12</v>
      </c>
      <c r="E67" s="128"/>
      <c r="F67" s="145">
        <f>IF(chooseyear=1,K67,K67)</f>
        <v>0</v>
      </c>
      <c r="G67" s="128"/>
      <c r="H67" s="129"/>
      <c r="I67" s="125"/>
      <c r="J67" s="146">
        <f>IF(nicablemain-lelni&lt;0,0,IF(nicablemain&gt;uelni,(uelni-saldivpa)*eesrate1,(nicablemain-lelni)*eesrate1))</f>
        <v>0</v>
      </c>
      <c r="K67" s="146">
        <f>IF(nicablemain-lelni&lt;0,0,IF(nicablemain&gt;uelni,(uelni-saldivpa)*eesrate2+(nicablemain-uelni)*1%,(nicablemain-lelni)*eesrate2))</f>
        <v>0</v>
      </c>
      <c r="L67" s="125"/>
      <c r="M67" s="139" t="s">
        <v>9</v>
      </c>
      <c r="N67" s="125"/>
      <c r="O67" s="125"/>
      <c r="P67" s="125"/>
      <c r="AC67" s="5"/>
      <c r="AD67" s="5"/>
    </row>
    <row r="68" spans="1:30" ht="12.75" hidden="1">
      <c r="A68" s="125"/>
      <c r="B68" s="125"/>
      <c r="C68" s="125"/>
      <c r="D68" s="128"/>
      <c r="E68" s="128"/>
      <c r="F68" s="128"/>
      <c r="G68" s="128"/>
      <c r="H68" s="129"/>
      <c r="I68" s="125"/>
      <c r="J68" s="125"/>
      <c r="K68" s="125"/>
      <c r="L68" s="125"/>
      <c r="M68" s="125" t="s">
        <v>9</v>
      </c>
      <c r="N68" s="125"/>
      <c r="O68" s="125"/>
      <c r="P68" s="125"/>
      <c r="AC68" s="5"/>
      <c r="AD68" s="5"/>
    </row>
    <row r="69" spans="1:30" ht="13.5" thickTop="1">
      <c r="A69" s="125"/>
      <c r="B69" s="125"/>
      <c r="C69" s="125"/>
      <c r="D69" s="128">
        <f>D65-D64</f>
        <v>37926</v>
      </c>
      <c r="E69" s="128"/>
      <c r="F69" s="128"/>
      <c r="G69" s="128"/>
      <c r="H69" s="129"/>
      <c r="I69" s="125"/>
      <c r="J69" s="146">
        <f>IF(nicablemain-lelni&lt;0,0,IF(nicablemain&gt;uelni,(uelni-lelni)*eesrate1,(nicable-lelni)*eesrate1))</f>
        <v>693.4271999999999</v>
      </c>
      <c r="K69" s="125"/>
      <c r="L69" s="125"/>
      <c r="M69" s="125"/>
      <c r="N69" s="125"/>
      <c r="O69" s="125"/>
      <c r="P69" s="125"/>
      <c r="AC69" s="5"/>
      <c r="AD69" s="5"/>
    </row>
    <row r="70" spans="1:30" ht="12.75">
      <c r="A70" s="125"/>
      <c r="B70" s="125"/>
      <c r="C70" s="125"/>
      <c r="D70" s="128"/>
      <c r="E70" s="128"/>
      <c r="F70" s="128"/>
      <c r="G70" s="128"/>
      <c r="H70" s="129"/>
      <c r="I70" s="125"/>
      <c r="J70" s="125"/>
      <c r="K70" s="125"/>
      <c r="L70" s="125"/>
      <c r="M70" s="125"/>
      <c r="N70" s="125"/>
      <c r="O70" s="125"/>
      <c r="P70" s="125"/>
      <c r="AC70" s="5"/>
      <c r="AD70" s="5"/>
    </row>
    <row r="71" spans="1:30" ht="12.75">
      <c r="A71" s="125"/>
      <c r="B71" s="126" t="s">
        <v>154</v>
      </c>
      <c r="C71" s="127"/>
      <c r="D71" s="138"/>
      <c r="E71" s="128"/>
      <c r="F71" s="128"/>
      <c r="G71" s="128"/>
      <c r="H71" s="129"/>
      <c r="I71" s="125"/>
      <c r="J71" s="125"/>
      <c r="K71" s="125"/>
      <c r="L71" s="125"/>
      <c r="M71" s="125"/>
      <c r="N71" s="125"/>
      <c r="O71" s="125"/>
      <c r="P71" s="125"/>
      <c r="AC71" s="5"/>
      <c r="AD71" s="5"/>
    </row>
    <row r="72" spans="1:30" ht="12.75">
      <c r="A72" s="125"/>
      <c r="B72" s="130" t="s">
        <v>159</v>
      </c>
      <c r="C72" s="125"/>
      <c r="D72" s="128"/>
      <c r="E72" s="128"/>
      <c r="F72" s="128"/>
      <c r="G72" s="147">
        <f>profit</f>
        <v>15000</v>
      </c>
      <c r="H72" s="129"/>
      <c r="I72" s="125"/>
      <c r="J72" s="125"/>
      <c r="K72" s="125"/>
      <c r="L72" s="125"/>
      <c r="M72" s="125"/>
      <c r="N72" s="125"/>
      <c r="O72" s="125"/>
      <c r="P72" s="125"/>
      <c r="AC72" s="5"/>
      <c r="AD72" s="5"/>
    </row>
    <row r="73" spans="1:30" ht="12.75">
      <c r="A73" s="125"/>
      <c r="B73" s="130" t="s">
        <v>160</v>
      </c>
      <c r="C73" s="125"/>
      <c r="D73" s="128"/>
      <c r="E73" s="128"/>
      <c r="F73" s="128"/>
      <c r="G73" s="128">
        <f>G33+F40</f>
        <v>8424</v>
      </c>
      <c r="H73" s="129"/>
      <c r="I73" s="125"/>
      <c r="J73" s="125"/>
      <c r="K73" s="125"/>
      <c r="L73" s="125"/>
      <c r="M73" s="125"/>
      <c r="N73" s="125"/>
      <c r="O73" s="125"/>
      <c r="P73" s="125"/>
      <c r="AC73" s="5"/>
      <c r="AD73" s="5"/>
    </row>
    <row r="74" spans="1:30" ht="12.75">
      <c r="A74" s="125"/>
      <c r="B74" s="130" t="s">
        <v>71</v>
      </c>
      <c r="C74" s="125"/>
      <c r="D74" s="128"/>
      <c r="E74" s="128"/>
      <c r="F74" s="131"/>
      <c r="G74" s="148">
        <f>liabletoctcombined</f>
        <v>6576</v>
      </c>
      <c r="H74" s="129"/>
      <c r="I74" s="125"/>
      <c r="J74" s="125"/>
      <c r="K74" s="125"/>
      <c r="L74" s="125"/>
      <c r="M74" s="125"/>
      <c r="N74" s="125"/>
      <c r="O74" s="125"/>
      <c r="P74" s="125"/>
      <c r="AC74" s="5"/>
      <c r="AD74" s="5"/>
    </row>
    <row r="75" spans="1:30" ht="12.75">
      <c r="A75" s="125"/>
      <c r="B75" s="125" t="s">
        <v>155</v>
      </c>
      <c r="C75" s="125"/>
      <c r="D75" s="128"/>
      <c r="E75" s="128"/>
      <c r="F75" s="129"/>
      <c r="G75" s="129">
        <f>numberofparts</f>
        <v>1</v>
      </c>
      <c r="H75" s="129"/>
      <c r="I75" s="125"/>
      <c r="J75" s="125"/>
      <c r="K75" s="125"/>
      <c r="L75" s="125"/>
      <c r="M75" s="125"/>
      <c r="N75" s="125"/>
      <c r="O75" s="125"/>
      <c r="P75" s="125"/>
      <c r="AC75" s="5"/>
      <c r="AD75" s="5"/>
    </row>
    <row r="76" spans="1:30" ht="12.75">
      <c r="A76" s="125"/>
      <c r="B76" s="125" t="s">
        <v>179</v>
      </c>
      <c r="C76" s="125"/>
      <c r="D76" s="128"/>
      <c r="E76" s="128"/>
      <c r="F76" s="129"/>
      <c r="G76" s="129">
        <f>chargeabletoctcombined*numberofparts</f>
        <v>6576</v>
      </c>
      <c r="H76" s="129"/>
      <c r="I76" s="125"/>
      <c r="J76" s="125"/>
      <c r="K76" s="125"/>
      <c r="L76" s="125"/>
      <c r="M76" s="125"/>
      <c r="N76" s="125"/>
      <c r="O76" s="125"/>
      <c r="P76" s="125"/>
      <c r="AC76" s="5"/>
      <c r="AD76" s="5"/>
    </row>
    <row r="77" spans="1:30" ht="12.75" hidden="1">
      <c r="A77" s="125"/>
      <c r="B77" s="125" t="s">
        <v>72</v>
      </c>
      <c r="C77" s="125"/>
      <c r="D77" s="128"/>
      <c r="E77" s="128"/>
      <c r="F77" s="128"/>
      <c r="G77" s="128">
        <f>retainedprofitinco</f>
        <v>0</v>
      </c>
      <c r="H77" s="129"/>
      <c r="I77" s="125"/>
      <c r="J77" s="125"/>
      <c r="K77" s="125"/>
      <c r="L77" s="125"/>
      <c r="M77" s="125"/>
      <c r="N77" s="125"/>
      <c r="O77" s="125"/>
      <c r="P77" s="125"/>
      <c r="AC77" s="5"/>
      <c r="AD77" s="5"/>
    </row>
    <row r="78" spans="1:30" ht="12.75" hidden="1">
      <c r="A78" s="125"/>
      <c r="B78" s="125"/>
      <c r="C78" s="125"/>
      <c r="D78" s="128"/>
      <c r="E78" s="128"/>
      <c r="F78" s="128"/>
      <c r="G78" s="128"/>
      <c r="H78" s="129"/>
      <c r="I78" s="125"/>
      <c r="J78" s="125"/>
      <c r="K78" s="125"/>
      <c r="L78" s="125"/>
      <c r="M78" s="125"/>
      <c r="N78" s="125"/>
      <c r="O78" s="125"/>
      <c r="P78" s="125"/>
      <c r="AC78" s="5"/>
      <c r="AD78" s="5"/>
    </row>
    <row r="79" spans="1:30" ht="12.75" hidden="1">
      <c r="A79" s="125"/>
      <c r="B79" s="125" t="s">
        <v>12</v>
      </c>
      <c r="C79" s="125"/>
      <c r="D79" s="128"/>
      <c r="E79" s="128"/>
      <c r="F79" s="128"/>
      <c r="G79" s="128">
        <f>lowerctband</f>
        <v>0</v>
      </c>
      <c r="H79" s="129"/>
      <c r="I79" s="125"/>
      <c r="J79" s="128">
        <f>(J83-lowerctband)*22.5%</f>
        <v>1479.6000000000001</v>
      </c>
      <c r="K79" s="125"/>
      <c r="L79" s="125"/>
      <c r="M79" s="125"/>
      <c r="N79" s="125"/>
      <c r="O79" s="125"/>
      <c r="P79" s="125"/>
      <c r="AC79" s="5"/>
      <c r="AD79" s="5"/>
    </row>
    <row r="80" spans="1:30" ht="12.75" hidden="1">
      <c r="A80" s="125"/>
      <c r="B80" s="125"/>
      <c r="C80" s="125"/>
      <c r="D80" s="128"/>
      <c r="E80" s="128"/>
      <c r="F80" s="128"/>
      <c r="G80" s="128"/>
      <c r="H80" s="129"/>
      <c r="I80" s="125"/>
      <c r="J80" s="125"/>
      <c r="K80" s="125"/>
      <c r="L80" s="125"/>
      <c r="M80" s="125"/>
      <c r="N80" s="125"/>
      <c r="O80" s="125"/>
      <c r="P80" s="125"/>
      <c r="AC80" s="5"/>
      <c r="AD80" s="5"/>
    </row>
    <row r="81" spans="1:30" ht="12.75" hidden="1">
      <c r="A81" s="125"/>
      <c r="B81" s="125" t="s">
        <v>59</v>
      </c>
      <c r="C81" s="125"/>
      <c r="D81" s="128"/>
      <c r="E81" s="128"/>
      <c r="F81" s="128"/>
      <c r="G81" s="128">
        <f>IF(+G76-G79&lt;0,0,G76-G79)</f>
        <v>6576</v>
      </c>
      <c r="H81" s="129"/>
      <c r="I81" s="125" t="s">
        <v>9</v>
      </c>
      <c r="J81" s="125"/>
      <c r="K81" s="125"/>
      <c r="L81" s="125"/>
      <c r="M81" s="125"/>
      <c r="N81" s="125"/>
      <c r="O81" s="125"/>
      <c r="P81" s="125"/>
      <c r="AC81" s="5"/>
      <c r="AD81" s="5"/>
    </row>
    <row r="82" spans="1:30" ht="12.75">
      <c r="A82" s="125"/>
      <c r="B82" s="125"/>
      <c r="C82" s="125"/>
      <c r="D82" s="128"/>
      <c r="E82" s="128"/>
      <c r="F82" s="128"/>
      <c r="G82" s="128"/>
      <c r="H82" s="129"/>
      <c r="I82" s="125" t="s">
        <v>9</v>
      </c>
      <c r="J82" s="149" t="s">
        <v>126</v>
      </c>
      <c r="K82" s="149" t="s">
        <v>125</v>
      </c>
      <c r="L82" s="125"/>
      <c r="M82" s="125"/>
      <c r="N82" s="125"/>
      <c r="O82" s="125"/>
      <c r="P82" s="125"/>
      <c r="AC82" s="5"/>
      <c r="AD82" s="5"/>
    </row>
    <row r="83" spans="1:30" ht="12.75">
      <c r="A83" s="125"/>
      <c r="B83" s="125" t="s">
        <v>17</v>
      </c>
      <c r="C83" s="125"/>
      <c r="D83" s="128"/>
      <c r="E83" s="128"/>
      <c r="F83" s="128"/>
      <c r="G83" s="135">
        <f>IF(chooseyear=1,J86,J86)</f>
        <v>1249.44</v>
      </c>
      <c r="H83" s="129"/>
      <c r="I83" s="125"/>
      <c r="J83" s="128">
        <f>overallassessabletoctcombined</f>
        <v>6576</v>
      </c>
      <c r="K83" s="128">
        <f>overallassessabletoctcombined</f>
        <v>6576</v>
      </c>
      <c r="L83" s="125"/>
      <c r="M83" s="125"/>
      <c r="N83" s="125"/>
      <c r="O83" s="125"/>
      <c r="P83" s="6">
        <f>J83</f>
        <v>6576</v>
      </c>
      <c r="Q83">
        <f>299999/asscos</f>
        <v>299999</v>
      </c>
      <c r="R83">
        <f>IF(P83&gt;Q83,P83,0)</f>
        <v>0</v>
      </c>
      <c r="S83" s="4">
        <f>Calculations!S46</f>
        <v>0.19</v>
      </c>
      <c r="T83" s="6">
        <f>+R83*S83</f>
        <v>0</v>
      </c>
      <c r="U83" s="14">
        <f>Calculations!U46</f>
        <v>0</v>
      </c>
      <c r="V83" s="5">
        <f>1500000/asscos-R83</f>
        <v>1500000</v>
      </c>
      <c r="W83" s="6">
        <f>IF(+V83*U83&gt;0,+V83*U83,0)</f>
        <v>0</v>
      </c>
      <c r="X83" s="6">
        <f>IF(T83-W83&lt;0,0,T83-W83)</f>
        <v>0</v>
      </c>
      <c r="AC83" s="5"/>
      <c r="AD83" s="5"/>
    </row>
    <row r="84" spans="1:30" ht="12.75">
      <c r="A84" s="125"/>
      <c r="B84" s="125" t="s">
        <v>44</v>
      </c>
      <c r="C84" s="125"/>
      <c r="D84" s="128"/>
      <c r="E84" s="128"/>
      <c r="F84" s="128"/>
      <c r="G84" s="128">
        <f>ROUND(+G83/numberofparts,2)</f>
        <v>1249.44</v>
      </c>
      <c r="H84" s="129"/>
      <c r="I84" s="125"/>
      <c r="J84" s="128">
        <f>IF(J83&gt;(300000/asscos),(300000/asscos)*ctrate3,IF(J83&gt;(50000/asscos),J83*ctrate3,IF(J83&lt;(lowerctband/asscos),J83*0%,((J83-(lowerctband/asscos))*marginalctrate)+lowerctband*0%)))</f>
        <v>1249.44</v>
      </c>
      <c r="K84" s="128">
        <f>IF(K83&gt;(300000/asscos),(300000/asscos)*ctrate3,IF(K83&gt;(50000/asscos),K83*ctrate3,IF(K83&lt;(lowerctband/asscos),K83*0%,((K83-(lowerctband/asscos))*marginalctrate)+lowerctband*0%)))</f>
        <v>1249.44</v>
      </c>
      <c r="L84" s="125"/>
      <c r="M84" s="125"/>
      <c r="N84" s="125"/>
      <c r="O84" s="125"/>
      <c r="P84" s="6">
        <f>J83</f>
        <v>6576</v>
      </c>
      <c r="Q84">
        <f>49999/asscos</f>
        <v>49999</v>
      </c>
      <c r="R84">
        <f>IF(P84&gt;Q84,P84,0)</f>
        <v>0</v>
      </c>
      <c r="S84" s="4">
        <f>Calculations!S47</f>
        <v>0.19</v>
      </c>
      <c r="T84" s="6">
        <f>+R84*S84</f>
        <v>0</v>
      </c>
      <c r="U84" s="14">
        <f>Calculations!U47</f>
        <v>0</v>
      </c>
      <c r="V84">
        <f>IF(50000/asscos-R84&gt;P84,(50000/asscos-R84),0)</f>
        <v>50000</v>
      </c>
      <c r="W84" s="6">
        <f>IF((+V84*U84)&gt;0,(152*U84),0)</f>
        <v>0</v>
      </c>
      <c r="X84" s="6">
        <f>IF(X83&gt;0,0,IF(T84-W84&lt;0,0,T84-W84))</f>
        <v>0</v>
      </c>
      <c r="AC84" s="5"/>
      <c r="AD84" s="5"/>
    </row>
    <row r="85" spans="1:30" ht="12.75">
      <c r="A85" s="125"/>
      <c r="B85" s="125" t="s">
        <v>9</v>
      </c>
      <c r="C85" s="125"/>
      <c r="D85" s="128"/>
      <c r="E85" s="128"/>
      <c r="F85" s="128"/>
      <c r="G85" s="128">
        <v>0</v>
      </c>
      <c r="H85" s="129"/>
      <c r="I85" s="125"/>
      <c r="J85" s="128">
        <f>IF((J83&gt;(1500000/asscos)),(J83*ctaxmainrate)-J84,IF(J83&gt;(300000/asscos),(J83-(300000/asscos))*32.75%,0))</f>
        <v>0</v>
      </c>
      <c r="K85" s="128">
        <f>IF((K83&gt;(1500000/asscos)),(K83*ctaxmainrate)-K84,IF(K83&gt;(300000/asscos),(K83-(300000/asscos))*32.75%,0))</f>
        <v>0</v>
      </c>
      <c r="L85" s="125"/>
      <c r="M85" s="125"/>
      <c r="N85" s="125"/>
      <c r="O85" s="125"/>
      <c r="P85" s="6">
        <f>J83</f>
        <v>6576</v>
      </c>
      <c r="Q85">
        <f>50000/asscos</f>
        <v>50000</v>
      </c>
      <c r="R85">
        <f>IF(P85&lt;Q85,P85,0)</f>
        <v>6576</v>
      </c>
      <c r="S85" s="4">
        <f>Calculations!S48</f>
        <v>0.19</v>
      </c>
      <c r="T85" s="6">
        <f>IF(R85&gt;10000,+R85*S85,0)</f>
        <v>0</v>
      </c>
      <c r="U85" s="157">
        <v>0</v>
      </c>
      <c r="V85">
        <f>IF(R85&gt;10000,(50000/asscos-R85),0)</f>
        <v>0</v>
      </c>
      <c r="W85" s="6">
        <f>IF((+V85*U85)&gt;0,+V85*U85,0)</f>
        <v>0</v>
      </c>
      <c r="X85" s="6">
        <f>IF(T85-W85&lt;0,0,T85-W85)</f>
        <v>0</v>
      </c>
      <c r="AC85" s="5"/>
      <c r="AD85" s="5"/>
    </row>
    <row r="86" spans="1:30" ht="12.75">
      <c r="A86" s="125"/>
      <c r="B86" s="125" t="s">
        <v>45</v>
      </c>
      <c r="C86" s="125"/>
      <c r="D86" s="128"/>
      <c r="E86" s="128" t="s">
        <v>9</v>
      </c>
      <c r="F86" s="129"/>
      <c r="G86" s="140">
        <f>IF(F90&lt;0,0,F90)</f>
        <v>5326.56</v>
      </c>
      <c r="H86" s="129"/>
      <c r="I86" s="125"/>
      <c r="J86" s="128">
        <f>SUM(J84:J85)</f>
        <v>1249.44</v>
      </c>
      <c r="K86" s="128">
        <f>SUM(K84:K85)</f>
        <v>1249.44</v>
      </c>
      <c r="L86" s="125"/>
      <c r="M86" s="125"/>
      <c r="N86" s="125"/>
      <c r="O86" s="125"/>
      <c r="T86" s="5"/>
      <c r="W86" s="6"/>
      <c r="X86" s="17">
        <f>SUM(X83:X85)</f>
        <v>0</v>
      </c>
      <c r="AC86" s="5"/>
      <c r="AD86" s="5"/>
    </row>
    <row r="87" spans="1:30" ht="12.75">
      <c r="A87" s="125"/>
      <c r="B87" s="125"/>
      <c r="C87" s="125"/>
      <c r="D87" s="128"/>
      <c r="E87" s="128"/>
      <c r="F87" s="128"/>
      <c r="G87" s="128"/>
      <c r="H87" s="129"/>
      <c r="I87" s="125"/>
      <c r="J87" s="125"/>
      <c r="K87" s="125"/>
      <c r="L87" s="125"/>
      <c r="M87" s="125"/>
      <c r="N87" s="125"/>
      <c r="O87" s="125"/>
      <c r="P87" s="125"/>
      <c r="AC87" s="5"/>
      <c r="AD87" s="5"/>
    </row>
    <row r="88" spans="1:30" ht="12.75">
      <c r="A88" s="125"/>
      <c r="B88" s="125"/>
      <c r="C88" s="125"/>
      <c r="D88" s="128"/>
      <c r="E88" s="128"/>
      <c r="F88" s="128"/>
      <c r="G88" s="128"/>
      <c r="H88" s="129"/>
      <c r="I88" s="125"/>
      <c r="J88" s="125"/>
      <c r="K88" s="125"/>
      <c r="L88" s="125"/>
      <c r="M88" s="125"/>
      <c r="N88" s="125"/>
      <c r="O88" s="125"/>
      <c r="P88" s="125"/>
      <c r="AC88" s="5"/>
      <c r="AD88" s="5"/>
    </row>
    <row r="89" spans="1:30" ht="12.75" hidden="1">
      <c r="A89" s="125"/>
      <c r="B89" s="130" t="s">
        <v>73</v>
      </c>
      <c r="C89" s="125"/>
      <c r="D89" s="128"/>
      <c r="E89" s="128"/>
      <c r="F89" s="128" t="s">
        <v>9</v>
      </c>
      <c r="G89" s="128"/>
      <c r="H89" s="129"/>
      <c r="I89" s="125"/>
      <c r="J89" s="125"/>
      <c r="K89" s="125"/>
      <c r="L89" s="125"/>
      <c r="M89" s="125"/>
      <c r="N89" s="125"/>
      <c r="O89" s="125"/>
      <c r="P89" s="125"/>
      <c r="AC89" s="5"/>
      <c r="AD89" s="5"/>
    </row>
    <row r="90" spans="1:30" ht="12.75" hidden="1">
      <c r="A90" s="125"/>
      <c r="B90" s="125" t="s">
        <v>74</v>
      </c>
      <c r="C90" s="125"/>
      <c r="D90" s="128"/>
      <c r="E90" s="128"/>
      <c r="F90" s="128">
        <f>ROUND(divpayablecombined,2)</f>
        <v>5326.56</v>
      </c>
      <c r="G90" s="128" t="s">
        <v>9</v>
      </c>
      <c r="H90" s="129">
        <f>F90</f>
        <v>5326.56</v>
      </c>
      <c r="I90" s="125"/>
      <c r="J90" s="125"/>
      <c r="K90" s="125"/>
      <c r="L90" s="125"/>
      <c r="M90" s="125"/>
      <c r="N90" s="125"/>
      <c r="O90" s="125"/>
      <c r="P90" s="125"/>
      <c r="AC90" s="5"/>
      <c r="AD90" s="5"/>
    </row>
    <row r="91" spans="1:30" ht="12.75" hidden="1">
      <c r="A91" s="125"/>
      <c r="B91" s="125" t="s">
        <v>75</v>
      </c>
      <c r="C91" s="125"/>
      <c r="D91" s="128"/>
      <c r="E91" s="128"/>
      <c r="F91" s="128">
        <f>divpayablecombined*10/90</f>
        <v>591.8399999999999</v>
      </c>
      <c r="G91" s="128" t="s">
        <v>9</v>
      </c>
      <c r="H91" s="129">
        <f>F91</f>
        <v>591.8399999999999</v>
      </c>
      <c r="I91" s="125"/>
      <c r="J91" s="125"/>
      <c r="K91" s="125"/>
      <c r="L91" s="125"/>
      <c r="M91" s="125"/>
      <c r="N91" s="125"/>
      <c r="O91" s="125"/>
      <c r="P91" s="125"/>
      <c r="AC91" s="5"/>
      <c r="AD91" s="5"/>
    </row>
    <row r="92" spans="1:30" ht="12.75" hidden="1">
      <c r="A92" s="125"/>
      <c r="B92" s="125" t="s">
        <v>84</v>
      </c>
      <c r="C92" s="125"/>
      <c r="D92" s="128"/>
      <c r="E92" s="128"/>
      <c r="F92" s="128">
        <f>chargeabletotaxsalcombined</f>
        <v>0</v>
      </c>
      <c r="G92" s="128" t="s">
        <v>9</v>
      </c>
      <c r="H92" s="129">
        <f>G48</f>
        <v>2492.3999999999996</v>
      </c>
      <c r="I92" s="125"/>
      <c r="J92" s="125"/>
      <c r="K92" s="125"/>
      <c r="L92" s="125"/>
      <c r="M92" s="125">
        <f>IF(TaxableFromSalaryCombined&gt;tenpercentband,tenpercentband*10%,TaxableFromSalaryCombined*10%)</f>
        <v>-342.6</v>
      </c>
      <c r="N92" s="125" t="s">
        <v>9</v>
      </c>
      <c r="O92" s="125"/>
      <c r="P92" s="125"/>
      <c r="AC92" s="5"/>
      <c r="AD92" s="5"/>
    </row>
    <row r="93" spans="1:30" ht="12.75" hidden="1">
      <c r="A93" s="125"/>
      <c r="B93" s="125"/>
      <c r="C93" s="125"/>
      <c r="D93" s="128"/>
      <c r="E93" s="128"/>
      <c r="F93" s="131">
        <f>ROUND(SUM(F89:F92),2)</f>
        <v>5918.4</v>
      </c>
      <c r="G93" s="131" t="s">
        <v>9</v>
      </c>
      <c r="H93" s="146">
        <f>SUM(H90:H92)</f>
        <v>8410.8</v>
      </c>
      <c r="I93" s="125"/>
      <c r="J93" s="125"/>
      <c r="K93" s="125"/>
      <c r="L93" s="125"/>
      <c r="M93" s="125" t="s">
        <v>9</v>
      </c>
      <c r="N93" s="125" t="s">
        <v>9</v>
      </c>
      <c r="O93" s="125"/>
      <c r="P93" s="125"/>
      <c r="AC93" s="5"/>
      <c r="AD93" s="5"/>
    </row>
    <row r="94" spans="1:30" ht="12.75" hidden="1">
      <c r="A94" s="125"/>
      <c r="B94" s="125"/>
      <c r="C94" s="125"/>
      <c r="D94" s="128"/>
      <c r="E94" s="128"/>
      <c r="F94" s="128"/>
      <c r="G94" s="128"/>
      <c r="H94" s="129"/>
      <c r="I94" s="125"/>
      <c r="J94" s="125"/>
      <c r="K94" s="125"/>
      <c r="L94" s="125"/>
      <c r="M94" s="125"/>
      <c r="N94" s="125"/>
      <c r="O94" s="125"/>
      <c r="P94" s="125"/>
      <c r="AC94" s="5"/>
      <c r="AD94" s="5"/>
    </row>
    <row r="95" spans="1:30" ht="12.75" hidden="1">
      <c r="A95" s="125"/>
      <c r="B95" s="125" t="s">
        <v>76</v>
      </c>
      <c r="C95" s="125"/>
      <c r="D95" s="128"/>
      <c r="E95" s="128">
        <f>+F95*10</f>
        <v>-3426</v>
      </c>
      <c r="F95" s="128">
        <f>M92</f>
        <v>-342.6</v>
      </c>
      <c r="G95" s="128"/>
      <c r="H95" s="129" t="str">
        <f>N92</f>
        <v> </v>
      </c>
      <c r="I95" s="125"/>
      <c r="J95" s="125"/>
      <c r="K95" s="125"/>
      <c r="L95" s="125"/>
      <c r="M95" s="125">
        <f>IF(chargeabletotaxsalcombined-D92&lt;0,0,chargeabletotaxsalcombined-D92)</f>
        <v>0</v>
      </c>
      <c r="N95" s="125" t="s">
        <v>9</v>
      </c>
      <c r="O95" s="125"/>
      <c r="P95" s="125"/>
      <c r="AC95" s="5"/>
      <c r="AD95" s="5"/>
    </row>
    <row r="96" spans="1:30" ht="12.75" hidden="1">
      <c r="A96" s="125"/>
      <c r="B96" s="125" t="s">
        <v>77</v>
      </c>
      <c r="C96" s="125"/>
      <c r="D96" s="128"/>
      <c r="E96" s="128">
        <f>M54</f>
        <v>0</v>
      </c>
      <c r="F96" s="128">
        <f>M54*22%</f>
        <v>0</v>
      </c>
      <c r="G96" s="128"/>
      <c r="H96" s="129"/>
      <c r="I96" s="125"/>
      <c r="J96" s="125"/>
      <c r="K96" s="125" t="s">
        <v>9</v>
      </c>
      <c r="L96" s="125"/>
      <c r="M96" s="139" t="s">
        <v>9</v>
      </c>
      <c r="N96" s="125"/>
      <c r="O96" s="125"/>
      <c r="P96" s="125"/>
      <c r="AC96" s="5"/>
      <c r="AD96" s="5"/>
    </row>
    <row r="97" spans="1:30" ht="12.75" hidden="1">
      <c r="A97" s="125"/>
      <c r="B97" s="125" t="s">
        <v>78</v>
      </c>
      <c r="C97" s="125"/>
      <c r="D97" s="128"/>
      <c r="E97" s="128">
        <f>M64</f>
        <v>0</v>
      </c>
      <c r="F97" s="128">
        <f>E97*40%</f>
        <v>0</v>
      </c>
      <c r="G97" s="128" t="s">
        <v>9</v>
      </c>
      <c r="H97" s="129">
        <f>H92*0.4</f>
        <v>996.9599999999999</v>
      </c>
      <c r="I97" s="125"/>
      <c r="J97" s="125"/>
      <c r="K97" s="125" t="s">
        <v>9</v>
      </c>
      <c r="L97" s="125"/>
      <c r="M97" s="139" t="s">
        <v>9</v>
      </c>
      <c r="N97" s="125"/>
      <c r="O97" s="125"/>
      <c r="P97" s="125"/>
      <c r="AC97" s="5"/>
      <c r="AD97" s="5"/>
    </row>
    <row r="98" spans="1:30" ht="12.75" hidden="1">
      <c r="A98" s="125"/>
      <c r="B98" s="125"/>
      <c r="C98" s="125"/>
      <c r="D98" s="128"/>
      <c r="E98" s="128">
        <f>SUM(E95:E97)</f>
        <v>-3426</v>
      </c>
      <c r="F98" s="128" t="s">
        <v>9</v>
      </c>
      <c r="G98" s="128"/>
      <c r="H98" s="129"/>
      <c r="I98" s="125"/>
      <c r="J98" s="125"/>
      <c r="K98" s="125"/>
      <c r="L98" s="125"/>
      <c r="M98" s="139" t="s">
        <v>9</v>
      </c>
      <c r="N98" s="125"/>
      <c r="O98" s="125"/>
      <c r="P98" s="125"/>
      <c r="AC98" s="5"/>
      <c r="AD98" s="5"/>
    </row>
    <row r="99" spans="1:30" ht="12.75" hidden="1">
      <c r="A99" s="125"/>
      <c r="B99" s="125" t="s">
        <v>79</v>
      </c>
      <c r="C99" s="125"/>
      <c r="D99" s="128"/>
      <c r="E99" s="128">
        <f>IF(E98&gt;29400+pensioncont,0,29900+pensioncont-E98)</f>
        <v>33326</v>
      </c>
      <c r="F99" s="128">
        <f>+E99*10%</f>
        <v>3332.6000000000004</v>
      </c>
      <c r="G99" s="128"/>
      <c r="H99" s="129"/>
      <c r="I99" s="125"/>
      <c r="J99" s="125"/>
      <c r="K99" s="125"/>
      <c r="L99" s="125"/>
      <c r="M99" s="139" t="s">
        <v>9</v>
      </c>
      <c r="N99" s="125"/>
      <c r="O99" s="125"/>
      <c r="P99" s="125"/>
      <c r="AC99" s="5"/>
      <c r="AD99" s="5"/>
    </row>
    <row r="100" spans="1:30" ht="12.75" hidden="1">
      <c r="A100" s="125"/>
      <c r="B100" s="125" t="s">
        <v>9</v>
      </c>
      <c r="C100" s="125"/>
      <c r="D100" s="128"/>
      <c r="E100" s="128">
        <f>SUM(E98:E99)</f>
        <v>29900</v>
      </c>
      <c r="F100" s="128" t="s">
        <v>9</v>
      </c>
      <c r="G100" s="128"/>
      <c r="H100" s="129"/>
      <c r="I100" s="125"/>
      <c r="J100" s="125"/>
      <c r="K100" s="125"/>
      <c r="L100" s="125"/>
      <c r="M100" s="139" t="s">
        <v>9</v>
      </c>
      <c r="N100" s="125"/>
      <c r="O100" s="125"/>
      <c r="P100" s="125"/>
      <c r="AC100" s="5"/>
      <c r="AD100" s="5"/>
    </row>
    <row r="101" spans="1:30" ht="12.75" hidden="1">
      <c r="A101" s="125"/>
      <c r="B101" s="125" t="s">
        <v>80</v>
      </c>
      <c r="C101" s="125"/>
      <c r="D101" s="128"/>
      <c r="E101" s="128">
        <f>F90+F91-E99</f>
        <v>-27407.6</v>
      </c>
      <c r="F101" s="128">
        <f>E101*32.5%</f>
        <v>-8907.47</v>
      </c>
      <c r="G101" s="128"/>
      <c r="H101" s="129">
        <f>+(H90+H91)*32.5%</f>
        <v>1923.4800000000002</v>
      </c>
      <c r="I101" s="125"/>
      <c r="J101" s="125"/>
      <c r="K101" s="125"/>
      <c r="L101" s="125"/>
      <c r="M101" s="125" t="s">
        <v>9</v>
      </c>
      <c r="N101" s="125"/>
      <c r="O101" s="125"/>
      <c r="P101" s="125"/>
      <c r="AC101" s="5"/>
      <c r="AD101" s="5"/>
    </row>
    <row r="102" spans="1:30" ht="12.75" hidden="1">
      <c r="A102" s="125"/>
      <c r="B102" s="125"/>
      <c r="C102" s="125"/>
      <c r="D102" s="128"/>
      <c r="E102" s="128"/>
      <c r="F102" s="131">
        <f>SUM(F95:F101)</f>
        <v>-5917.469999999999</v>
      </c>
      <c r="G102" s="128"/>
      <c r="H102" s="146">
        <f>SUM(H96:H101)</f>
        <v>2920.44</v>
      </c>
      <c r="I102" s="125"/>
      <c r="J102" s="125"/>
      <c r="K102" s="125"/>
      <c r="L102" s="125"/>
      <c r="M102" s="125"/>
      <c r="N102" s="125"/>
      <c r="O102" s="125"/>
      <c r="P102" s="125"/>
      <c r="AC102" s="5"/>
      <c r="AD102" s="5"/>
    </row>
    <row r="103" spans="1:30" ht="12.75" hidden="1">
      <c r="A103" s="125"/>
      <c r="B103" s="125" t="s">
        <v>81</v>
      </c>
      <c r="C103" s="125"/>
      <c r="D103" s="128"/>
      <c r="E103" s="128"/>
      <c r="F103" s="128">
        <f>F91</f>
        <v>591.8399999999999</v>
      </c>
      <c r="G103" s="128"/>
      <c r="H103" s="129">
        <f>H91</f>
        <v>591.8399999999999</v>
      </c>
      <c r="I103" s="125"/>
      <c r="J103" s="125"/>
      <c r="K103" s="125"/>
      <c r="L103" s="125"/>
      <c r="M103" s="125"/>
      <c r="N103" s="125"/>
      <c r="O103" s="125"/>
      <c r="P103" s="125"/>
      <c r="AC103" s="5"/>
      <c r="AD103" s="5"/>
    </row>
    <row r="104" spans="1:30" ht="12.75" hidden="1">
      <c r="A104" s="125"/>
      <c r="B104" s="125" t="s">
        <v>82</v>
      </c>
      <c r="C104" s="125"/>
      <c r="D104" s="128"/>
      <c r="E104" s="128"/>
      <c r="F104" s="131">
        <f>IF(+F102-F103&gt;0,(+F102-F103),0)</f>
        <v>0</v>
      </c>
      <c r="G104" s="128"/>
      <c r="H104" s="146">
        <f>IF(+H102-H103&gt;0,(+H102-H103),0)</f>
        <v>2328.6000000000004</v>
      </c>
      <c r="I104" s="125"/>
      <c r="J104" s="125"/>
      <c r="K104" s="125"/>
      <c r="L104" s="125"/>
      <c r="M104" s="128" t="s">
        <v>9</v>
      </c>
      <c r="N104" s="125"/>
      <c r="O104" s="125"/>
      <c r="P104" s="125"/>
      <c r="AC104" s="5"/>
      <c r="AD104" s="5"/>
    </row>
    <row r="105" spans="1:30" ht="12.75" hidden="1">
      <c r="A105" s="125"/>
      <c r="B105" s="125" t="s">
        <v>85</v>
      </c>
      <c r="C105" s="125"/>
      <c r="D105" s="128"/>
      <c r="E105" s="128"/>
      <c r="F105" s="128">
        <f>taxonsalcombined</f>
        <v>0</v>
      </c>
      <c r="G105" s="128" t="s">
        <v>9</v>
      </c>
      <c r="H105" s="129">
        <f>taxonsalcombined2</f>
        <v>3790.8</v>
      </c>
      <c r="I105" s="125" t="s">
        <v>140</v>
      </c>
      <c r="J105" s="125"/>
      <c r="K105" s="125"/>
      <c r="L105" s="125"/>
      <c r="M105" s="125" t="s">
        <v>9</v>
      </c>
      <c r="N105" s="125"/>
      <c r="O105" s="125"/>
      <c r="P105" s="125"/>
      <c r="AC105" s="5"/>
      <c r="AD105" s="5"/>
    </row>
    <row r="106" spans="1:30" ht="12.75" hidden="1">
      <c r="A106" s="125"/>
      <c r="B106" s="125" t="s">
        <v>86</v>
      </c>
      <c r="C106" s="125"/>
      <c r="D106" s="128"/>
      <c r="E106" s="128"/>
      <c r="F106" s="128">
        <f>IF(F104&gt;F105,F104,F105)</f>
        <v>0</v>
      </c>
      <c r="G106" s="128"/>
      <c r="H106" s="129">
        <f>IF(H104&gt;0,H104,H105)</f>
        <v>2328.6000000000004</v>
      </c>
      <c r="I106" s="128">
        <f>IF(hrateon=1,H106,F106)</f>
        <v>0</v>
      </c>
      <c r="J106" s="125"/>
      <c r="K106" s="125"/>
      <c r="L106" s="125"/>
      <c r="M106" s="128" t="s">
        <v>9</v>
      </c>
      <c r="N106" s="125"/>
      <c r="O106" s="125"/>
      <c r="P106" s="125"/>
      <c r="AC106" s="5"/>
      <c r="AD106" s="5"/>
    </row>
    <row r="107" spans="1:30" ht="12.75" hidden="1">
      <c r="A107" s="125"/>
      <c r="B107" s="125"/>
      <c r="C107" s="125"/>
      <c r="D107" s="128"/>
      <c r="E107" s="128"/>
      <c r="F107" s="128"/>
      <c r="G107" s="128"/>
      <c r="H107" s="129"/>
      <c r="I107" s="125"/>
      <c r="J107" s="125"/>
      <c r="K107" s="125"/>
      <c r="L107" s="125"/>
      <c r="M107" s="125"/>
      <c r="N107" s="125"/>
      <c r="O107" s="125"/>
      <c r="P107" s="125"/>
      <c r="AC107" s="5"/>
      <c r="AD107" s="5"/>
    </row>
    <row r="108" spans="1:30" ht="12.75" hidden="1">
      <c r="A108" s="125"/>
      <c r="B108" s="125"/>
      <c r="C108" s="125"/>
      <c r="D108" s="128"/>
      <c r="E108" s="128"/>
      <c r="F108" s="128"/>
      <c r="G108" s="128"/>
      <c r="H108" s="129"/>
      <c r="I108" s="125"/>
      <c r="J108" s="125"/>
      <c r="K108" s="125"/>
      <c r="L108" s="125"/>
      <c r="M108" s="125"/>
      <c r="N108" s="125"/>
      <c r="O108" s="125"/>
      <c r="P108" s="125"/>
      <c r="AC108" s="5"/>
      <c r="AD108" s="5"/>
    </row>
    <row r="109" spans="1:30" ht="12.75" hidden="1">
      <c r="A109" s="125"/>
      <c r="B109" s="125"/>
      <c r="C109" s="125"/>
      <c r="D109" s="125"/>
      <c r="E109" s="128"/>
      <c r="F109" s="128"/>
      <c r="G109" s="128"/>
      <c r="H109" s="129"/>
      <c r="I109" s="128"/>
      <c r="J109" s="128"/>
      <c r="K109" s="128"/>
      <c r="L109" s="128"/>
      <c r="M109" s="128"/>
      <c r="N109" s="128"/>
      <c r="O109" s="125"/>
      <c r="P109" s="125"/>
      <c r="AC109" s="5"/>
      <c r="AD109" s="5"/>
    </row>
    <row r="110" spans="1:30" ht="12.75" hidden="1">
      <c r="A110" s="125"/>
      <c r="B110" s="125"/>
      <c r="C110" s="125"/>
      <c r="D110" s="125"/>
      <c r="E110" s="128"/>
      <c r="F110" s="128"/>
      <c r="G110" s="128"/>
      <c r="H110" s="129"/>
      <c r="I110" s="128"/>
      <c r="J110" s="128"/>
      <c r="K110" s="128"/>
      <c r="L110" s="128"/>
      <c r="M110" s="128"/>
      <c r="N110" s="128"/>
      <c r="O110" s="125"/>
      <c r="P110" s="125"/>
      <c r="AC110" s="5"/>
      <c r="AD110" s="5"/>
    </row>
    <row r="111" spans="1:30" ht="12.75" hidden="1">
      <c r="A111" s="125"/>
      <c r="B111" s="125"/>
      <c r="C111" s="125"/>
      <c r="D111" s="125"/>
      <c r="E111" s="128"/>
      <c r="F111" s="128"/>
      <c r="G111" s="128"/>
      <c r="H111" s="129"/>
      <c r="I111" s="128"/>
      <c r="J111" s="128"/>
      <c r="K111" s="128"/>
      <c r="L111" s="128"/>
      <c r="M111" s="128"/>
      <c r="N111" s="128"/>
      <c r="O111" s="125"/>
      <c r="P111" s="125"/>
      <c r="AC111" s="5"/>
      <c r="AD111" s="5"/>
    </row>
    <row r="112" spans="1:30" ht="12.75" hidden="1">
      <c r="A112" s="125"/>
      <c r="B112" s="125"/>
      <c r="C112" s="125"/>
      <c r="D112" s="125"/>
      <c r="E112" s="128"/>
      <c r="F112" s="128"/>
      <c r="G112" s="128"/>
      <c r="H112" s="129"/>
      <c r="I112" s="128"/>
      <c r="J112" s="128"/>
      <c r="K112" s="128"/>
      <c r="L112" s="128"/>
      <c r="M112" s="128"/>
      <c r="N112" s="128"/>
      <c r="O112" s="125"/>
      <c r="P112" s="125"/>
      <c r="AC112" s="5"/>
      <c r="AD112" s="5"/>
    </row>
    <row r="113" spans="1:30" ht="12.75" hidden="1">
      <c r="A113" s="125"/>
      <c r="B113" s="125"/>
      <c r="C113" s="125"/>
      <c r="D113" s="125"/>
      <c r="E113" s="128"/>
      <c r="F113" s="128"/>
      <c r="G113" s="128"/>
      <c r="H113" s="129"/>
      <c r="I113" s="128"/>
      <c r="J113" s="128"/>
      <c r="K113" s="128"/>
      <c r="L113" s="128"/>
      <c r="M113" s="128"/>
      <c r="N113" s="128"/>
      <c r="O113" s="125"/>
      <c r="P113" s="125"/>
      <c r="AC113" s="5"/>
      <c r="AD113" s="5"/>
    </row>
    <row r="114" spans="1:30" ht="12.75" hidden="1">
      <c r="A114" s="125"/>
      <c r="B114" s="125"/>
      <c r="C114" s="125"/>
      <c r="D114" s="125"/>
      <c r="E114" s="128"/>
      <c r="F114" s="128"/>
      <c r="G114" s="128"/>
      <c r="H114" s="129"/>
      <c r="I114" s="128"/>
      <c r="J114" s="128"/>
      <c r="K114" s="128"/>
      <c r="L114" s="128"/>
      <c r="M114" s="128"/>
      <c r="N114" s="128"/>
      <c r="O114" s="125"/>
      <c r="P114" s="125"/>
      <c r="AC114" s="5"/>
      <c r="AD114" s="5"/>
    </row>
    <row r="115" spans="29:30" ht="12.75" hidden="1">
      <c r="AC115" s="5"/>
      <c r="AD115" s="5"/>
    </row>
    <row r="116" spans="29:30" ht="12.75" hidden="1">
      <c r="AC116" s="5"/>
      <c r="AD116" s="5"/>
    </row>
    <row r="117" spans="29:30" ht="12.75">
      <c r="AC117" s="5"/>
      <c r="AD117" s="5"/>
    </row>
    <row r="118" spans="29:30" ht="12.75">
      <c r="AC118" s="5"/>
      <c r="AD118" s="5"/>
    </row>
    <row r="119" spans="29:30" ht="12.75">
      <c r="AC119" s="5"/>
      <c r="AD119" s="5"/>
    </row>
    <row r="120" spans="29:30" ht="12.75">
      <c r="AC120" s="5"/>
      <c r="AD120" s="5"/>
    </row>
    <row r="121" spans="29:30" ht="12.75">
      <c r="AC121" s="5"/>
      <c r="AD121" s="5"/>
    </row>
    <row r="122" spans="29:30" ht="12.75">
      <c r="AC122" s="5"/>
      <c r="AD122" s="5"/>
    </row>
    <row r="123" spans="29:30" ht="12.75">
      <c r="AC123" s="5"/>
      <c r="AD123" s="5"/>
    </row>
    <row r="124" spans="29:30" ht="12.75">
      <c r="AC124" s="5"/>
      <c r="AD124" s="5"/>
    </row>
    <row r="125" spans="29:30" ht="12.75">
      <c r="AC125" s="5"/>
      <c r="AD125" s="5"/>
    </row>
    <row r="126" spans="29:30" ht="12.75">
      <c r="AC126" s="5"/>
      <c r="AD126" s="5"/>
    </row>
    <row r="127" spans="29:30" ht="12.75">
      <c r="AC127" s="5"/>
      <c r="AD127" s="5"/>
    </row>
    <row r="128" spans="29:30" ht="12.75">
      <c r="AC128" s="5"/>
      <c r="AD128" s="5"/>
    </row>
    <row r="129" spans="29:30" ht="12.75">
      <c r="AC129" s="5"/>
      <c r="AD129" s="5"/>
    </row>
    <row r="130" spans="29:30" ht="12.75">
      <c r="AC130" s="5"/>
      <c r="AD130" s="5"/>
    </row>
    <row r="131" spans="29:30" ht="12.75">
      <c r="AC131" s="5"/>
      <c r="AD131" s="5"/>
    </row>
    <row r="132" spans="29:30" ht="12.75">
      <c r="AC132" s="5"/>
      <c r="AD132" s="5"/>
    </row>
    <row r="133" spans="29:30" ht="12.75">
      <c r="AC133" s="5"/>
      <c r="AD133" s="5"/>
    </row>
    <row r="134" spans="29:30" ht="12.75">
      <c r="AC134" s="5"/>
      <c r="AD134" s="5"/>
    </row>
    <row r="135" spans="29:30" ht="12.75">
      <c r="AC135" s="5"/>
      <c r="AD135" s="5"/>
    </row>
    <row r="136" spans="29:30" ht="12.75">
      <c r="AC136" s="5"/>
      <c r="AD136" s="5"/>
    </row>
    <row r="137" spans="29:30" ht="12.75">
      <c r="AC137" s="5"/>
      <c r="AD137" s="5"/>
    </row>
    <row r="138" spans="29:30" ht="12.75">
      <c r="AC138" s="5"/>
      <c r="AD138" s="5"/>
    </row>
    <row r="139" spans="29:30" ht="12.75">
      <c r="AC139" s="5"/>
      <c r="AD139" s="5"/>
    </row>
    <row r="140" spans="29:30" ht="12.75">
      <c r="AC140" s="5"/>
      <c r="AD140" s="5"/>
    </row>
    <row r="141" spans="29:30" ht="12.75">
      <c r="AC141" s="5"/>
      <c r="AD141" s="5"/>
    </row>
    <row r="142" spans="29:30" ht="12.75">
      <c r="AC142" s="5"/>
      <c r="AD142" s="5"/>
    </row>
    <row r="143" spans="29:30" ht="12.75">
      <c r="AC143" s="5"/>
      <c r="AD143" s="5"/>
    </row>
    <row r="144" spans="29:30" ht="12.75">
      <c r="AC144" s="5"/>
      <c r="AD144" s="5"/>
    </row>
    <row r="145" spans="29:30" ht="12.75">
      <c r="AC145" s="5"/>
      <c r="AD145" s="5"/>
    </row>
    <row r="146" spans="29:30" ht="12.75">
      <c r="AC146" s="5"/>
      <c r="AD146" s="5"/>
    </row>
    <row r="147" spans="29:30" ht="12.75">
      <c r="AC147" s="5"/>
      <c r="AD147" s="5"/>
    </row>
    <row r="148" spans="29:30" ht="12.75">
      <c r="AC148" s="5"/>
      <c r="AD148" s="5"/>
    </row>
    <row r="149" spans="29:30" ht="12.75">
      <c r="AC149" s="5"/>
      <c r="AD149" s="5"/>
    </row>
    <row r="150" spans="29:30" ht="12.75">
      <c r="AC150" s="5"/>
      <c r="AD150" s="5"/>
    </row>
    <row r="151" spans="29:30" ht="12.75">
      <c r="AC151" s="5"/>
      <c r="AD151" s="5"/>
    </row>
    <row r="152" spans="29:30" ht="12.75">
      <c r="AC152" s="5"/>
      <c r="AD152" s="5"/>
    </row>
    <row r="153" spans="29:30" ht="12.75">
      <c r="AC153" s="5"/>
      <c r="AD153" s="5"/>
    </row>
    <row r="154" spans="29:30" ht="12.75">
      <c r="AC154" s="5"/>
      <c r="AD154" s="5"/>
    </row>
    <row r="155" spans="29:30" ht="12.75">
      <c r="AC155" s="5"/>
      <c r="AD155" s="5"/>
    </row>
    <row r="156" spans="29:30" ht="12.75">
      <c r="AC156" s="5"/>
      <c r="AD156" s="5"/>
    </row>
    <row r="157" spans="29:30" ht="12.75">
      <c r="AC157" s="5"/>
      <c r="AD157" s="5"/>
    </row>
    <row r="158" spans="29:30" ht="12.75">
      <c r="AC158" s="5"/>
      <c r="AD158" s="5"/>
    </row>
    <row r="159" spans="29:30" ht="12.75">
      <c r="AC159" s="5"/>
      <c r="AD159" s="5"/>
    </row>
    <row r="160" spans="29:30" ht="12.75">
      <c r="AC160" s="5"/>
      <c r="AD160" s="5"/>
    </row>
    <row r="161" spans="29:30" ht="12.75">
      <c r="AC161" s="5"/>
      <c r="AD161" s="5"/>
    </row>
    <row r="162" spans="29:30" ht="12.75">
      <c r="AC162" s="5"/>
      <c r="AD162" s="5"/>
    </row>
    <row r="163" spans="29:30" ht="12.75">
      <c r="AC163" s="5"/>
      <c r="AD163" s="5"/>
    </row>
    <row r="164" spans="29:30" ht="12.75">
      <c r="AC164" s="5"/>
      <c r="AD164" s="5"/>
    </row>
    <row r="165" spans="29:30" ht="12.75">
      <c r="AC165" s="5"/>
      <c r="AD165" s="5"/>
    </row>
    <row r="166" spans="29:30" ht="12.75">
      <c r="AC166" s="5"/>
      <c r="AD166" s="5"/>
    </row>
    <row r="167" spans="29:30" ht="12.75">
      <c r="AC167" s="5"/>
      <c r="AD167" s="5"/>
    </row>
    <row r="168" spans="29:30" ht="12.75">
      <c r="AC168" s="5"/>
      <c r="AD168" s="5"/>
    </row>
    <row r="169" spans="29:30" ht="12.75">
      <c r="AC169" s="5"/>
      <c r="AD169" s="5"/>
    </row>
    <row r="170" spans="29:30" ht="12.75">
      <c r="AC170" s="5"/>
      <c r="AD170" s="5"/>
    </row>
    <row r="171" spans="29:30" ht="12.75">
      <c r="AC171" s="5"/>
      <c r="AD171" s="5"/>
    </row>
    <row r="172" spans="29:30" ht="12.75">
      <c r="AC172" s="5"/>
      <c r="AD172" s="5"/>
    </row>
    <row r="173" spans="29:30" ht="12.75">
      <c r="AC173" s="5"/>
      <c r="AD173" s="5"/>
    </row>
    <row r="174" spans="29:30" ht="12.75">
      <c r="AC174" s="5"/>
      <c r="AD174" s="5"/>
    </row>
    <row r="175" spans="29:30" ht="12.75">
      <c r="AC175" s="5"/>
      <c r="AD175" s="5"/>
    </row>
    <row r="176" spans="29:30" ht="12.75">
      <c r="AC176" s="5"/>
      <c r="AD176" s="5"/>
    </row>
    <row r="177" spans="29:30" ht="12.75">
      <c r="AC177" s="5"/>
      <c r="AD177" s="5"/>
    </row>
    <row r="178" spans="29:30" ht="12.75">
      <c r="AC178" s="5"/>
      <c r="AD178" s="5"/>
    </row>
    <row r="179" spans="29:30" ht="12.75">
      <c r="AC179" s="5"/>
      <c r="AD179" s="5"/>
    </row>
  </sheetData>
  <sheetProtection/>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77" r:id="rId2"/>
  <legacyDrawing r:id="rId1"/>
</worksheet>
</file>

<file path=xl/worksheets/sheet9.xml><?xml version="1.0" encoding="utf-8"?>
<worksheet xmlns="http://schemas.openxmlformats.org/spreadsheetml/2006/main" xmlns:r="http://schemas.openxmlformats.org/officeDocument/2006/relationships">
  <sheetPr codeName="Sheet9">
    <tabColor rgb="FFFF0000"/>
  </sheetPr>
  <dimension ref="A3:S52"/>
  <sheetViews>
    <sheetView zoomScalePageLayoutView="0" workbookViewId="0" topLeftCell="A11">
      <selection activeCell="H10" sqref="H10"/>
    </sheetView>
  </sheetViews>
  <sheetFormatPr defaultColWidth="9.140625" defaultRowHeight="12.75"/>
  <cols>
    <col min="5" max="5" width="10.00390625" style="0" bestFit="1" customWidth="1"/>
    <col min="9" max="9" width="15.421875" style="151" bestFit="1" customWidth="1"/>
    <col min="11" max="11" width="11.140625" style="0" customWidth="1"/>
  </cols>
  <sheetData>
    <row r="3" ht="12.75">
      <c r="A3" s="153">
        <f>Input!$K$41</f>
        <v>0</v>
      </c>
    </row>
    <row r="4" ht="12.75">
      <c r="A4">
        <f>numberofparts</f>
        <v>1</v>
      </c>
    </row>
    <row r="5" spans="1:7" ht="12.75">
      <c r="A5" s="153">
        <f>A3*A4</f>
        <v>0</v>
      </c>
      <c r="C5">
        <v>10000</v>
      </c>
      <c r="D5">
        <v>40000</v>
      </c>
      <c r="E5">
        <v>250000</v>
      </c>
      <c r="F5">
        <v>1200000</v>
      </c>
      <c r="G5">
        <v>2000000</v>
      </c>
    </row>
    <row r="6" spans="3:7" ht="12.75">
      <c r="C6">
        <f>marginallower</f>
        <v>0.19</v>
      </c>
      <c r="D6">
        <f>marginallower</f>
        <v>0.19</v>
      </c>
      <c r="E6">
        <f>marginallower</f>
        <v>0.19</v>
      </c>
      <c r="F6">
        <v>32.75</v>
      </c>
      <c r="G6">
        <v>30</v>
      </c>
    </row>
    <row r="8" spans="3:11" ht="12.75">
      <c r="C8">
        <f>IF(A5&gt;C5,C5,A5)</f>
        <v>0</v>
      </c>
      <c r="D8">
        <f>IF(A5-C5&lt;0,0,IF($A$5-$C$5&gt;D5,D5,$A$5-$C$5))</f>
        <v>0</v>
      </c>
      <c r="E8">
        <f>IF($A$5-$C$5-$D$5&lt;0,0,IF($A$5-$C$5-$D$5&gt;E5,E5,$A$5-$C$5-$D$5))</f>
        <v>0</v>
      </c>
      <c r="F8">
        <f>IF($A$5-$C$5-$D$5-$E$5&lt;0,0,IF($A$5-$C$5-$D$5-$E$5&gt;F5,F5,$A$5-$C$5-$D$5-$E$5))</f>
        <v>0</v>
      </c>
      <c r="G8">
        <f>IF($A$5-$C$5-$D$5-$E$5-F5&lt;0,0,IF($A$5-$C$5-$D$5-$E$5-F5&gt;G5,G5,$A$5-$C$5-$D$5-$E$5-F5))</f>
        <v>0</v>
      </c>
      <c r="I8" s="151">
        <f>SUM(C8:H8)</f>
        <v>0</v>
      </c>
      <c r="K8" s="153">
        <f>I8</f>
        <v>0</v>
      </c>
    </row>
    <row r="10" spans="2:19" ht="12.75">
      <c r="B10" t="s">
        <v>17</v>
      </c>
      <c r="C10">
        <v>0</v>
      </c>
      <c r="D10" s="90">
        <v>0</v>
      </c>
      <c r="E10" s="90">
        <v>0</v>
      </c>
      <c r="F10" s="90">
        <v>0</v>
      </c>
      <c r="G10" s="90">
        <v>0</v>
      </c>
      <c r="I10" s="151">
        <f>IF(A5&gt;=1050000,0,IF(D10+E10=57000,57000,0))</f>
        <v>0</v>
      </c>
      <c r="J10">
        <f>IF(A5&lt;40501,10000,0)</f>
        <v>10000</v>
      </c>
      <c r="K10">
        <f>IF(K8&gt;300000,300000,0)</f>
        <v>0</v>
      </c>
      <c r="L10" s="90" t="s">
        <v>9</v>
      </c>
      <c r="M10">
        <f>IF($K$8&lt;300000/asscos,$K$8,300000/asscos)</f>
        <v>0</v>
      </c>
      <c r="N10">
        <f>lowerctbandrate</f>
        <v>0.19</v>
      </c>
      <c r="O10">
        <f>M10*N10</f>
        <v>0</v>
      </c>
      <c r="P10" t="s">
        <v>9</v>
      </c>
      <c r="Q10">
        <f>IF($K$8&lt;300000/asscos,$K$8,300000/asscos)</f>
        <v>0</v>
      </c>
      <c r="R10">
        <f>lowerctbandrate</f>
        <v>0.19</v>
      </c>
      <c r="S10">
        <f>Q10*R10</f>
        <v>0</v>
      </c>
    </row>
    <row r="11" spans="11:19" ht="12.75">
      <c r="K11" s="6">
        <f>+K8-K10</f>
        <v>0</v>
      </c>
      <c r="M11">
        <f>IF(($K$8-$M$10)&gt;1500000/asscos,1500000/asscos-$M$10,$K$8-$M$10)</f>
        <v>0</v>
      </c>
      <c r="N11">
        <f>uppermarginal</f>
        <v>0.19</v>
      </c>
      <c r="O11">
        <f>M11*N11</f>
        <v>0</v>
      </c>
      <c r="P11" t="s">
        <v>9</v>
      </c>
      <c r="Q11">
        <f>IF(($K$8-$M$10)&gt;1500000/asscos,1500000/asscos-$M$10,$K$8-$M$10)</f>
        <v>0</v>
      </c>
      <c r="R11">
        <f>uppermarginal</f>
        <v>0.19</v>
      </c>
      <c r="S11">
        <f>Q11*R11</f>
        <v>0</v>
      </c>
    </row>
    <row r="12" spans="9:19" ht="12.75">
      <c r="I12" s="151">
        <f>IF(A5=0,0,IF(A5&lt;1500000/asscos,(K8/(1-K14))-K14,A5/(1-K14)-A5))</f>
        <v>0</v>
      </c>
      <c r="K12" s="192" t="s">
        <v>9</v>
      </c>
      <c r="M12">
        <f>IF($K$8&gt;$M$10+$M$11,$K$8-$M$10-$M$11,0)</f>
        <v>0</v>
      </c>
      <c r="N12">
        <f>ctaxmainrate</f>
        <v>0.19</v>
      </c>
      <c r="O12">
        <f>M12*N12</f>
        <v>0</v>
      </c>
      <c r="P12" t="s">
        <v>9</v>
      </c>
      <c r="Q12">
        <f>IF($K$8&gt;$M$10+$M$11,$K$8-$M$10-$M$11,0)</f>
        <v>0</v>
      </c>
      <c r="R12">
        <f>ctaxmainrate</f>
        <v>0.19</v>
      </c>
      <c r="S12">
        <f>Q12*R12</f>
        <v>0</v>
      </c>
    </row>
    <row r="13" spans="13:19" ht="12.75">
      <c r="M13" t="s">
        <v>9</v>
      </c>
      <c r="N13" t="s">
        <v>187</v>
      </c>
      <c r="O13" t="s">
        <v>9</v>
      </c>
      <c r="P13" t="s">
        <v>9</v>
      </c>
      <c r="Q13" t="s">
        <v>9</v>
      </c>
      <c r="R13" t="s">
        <v>187</v>
      </c>
      <c r="S13" t="s">
        <v>9</v>
      </c>
    </row>
    <row r="14" spans="2:19" ht="12.75">
      <c r="B14" t="s">
        <v>170</v>
      </c>
      <c r="I14" s="151">
        <f>SUM(I10:I13)-I8</f>
        <v>0</v>
      </c>
      <c r="K14" s="14">
        <f>IF(ISERROR(O14/K8),"",O14/K8)</f>
      </c>
      <c r="L14" t="s">
        <v>211</v>
      </c>
      <c r="M14" t="s">
        <v>9</v>
      </c>
      <c r="N14" t="s">
        <v>9</v>
      </c>
      <c r="O14">
        <f>SUM(O9:O13)</f>
        <v>0</v>
      </c>
      <c r="P14" t="s">
        <v>9</v>
      </c>
      <c r="Q14" t="s">
        <v>9</v>
      </c>
      <c r="R14" t="s">
        <v>9</v>
      </c>
      <c r="S14">
        <f>SUM(S9:S13)</f>
        <v>0</v>
      </c>
    </row>
    <row r="16" spans="2:9" ht="12.75">
      <c r="B16" t="s">
        <v>171</v>
      </c>
      <c r="I16" s="151">
        <f>+I8+I14</f>
        <v>0</v>
      </c>
    </row>
    <row r="19" spans="13:18" ht="12.75">
      <c r="M19" s="90" t="s">
        <v>171</v>
      </c>
      <c r="R19" s="90">
        <v>1000000</v>
      </c>
    </row>
    <row r="21" spans="13:16" ht="12.75">
      <c r="M21">
        <f>IF(gross1&gt;300000,300000,gross1)</f>
        <v>300000</v>
      </c>
      <c r="N21">
        <f>lowerctbandrate</f>
        <v>0.19</v>
      </c>
      <c r="P21">
        <f>M21*N21</f>
        <v>57000</v>
      </c>
    </row>
    <row r="22" spans="13:16" ht="12.75">
      <c r="M22">
        <f>IF(gross1&gt;1500000,1500000-M21,IF(gross1-M21&lt;1500000,gross1-M21))</f>
        <v>700000</v>
      </c>
      <c r="N22">
        <f>uppermarginal</f>
        <v>0.19</v>
      </c>
      <c r="P22">
        <f>M22*N22</f>
        <v>133000</v>
      </c>
    </row>
    <row r="23" spans="13:16" ht="12.75">
      <c r="M23">
        <f>IF(gross1-M21-M22&gt;0,gross1-M21-M22,0)</f>
        <v>0</v>
      </c>
      <c r="N23">
        <f>ctaxmainrate</f>
        <v>0.19</v>
      </c>
      <c r="P23">
        <f>M23*N23</f>
        <v>0</v>
      </c>
    </row>
    <row r="25" spans="14:18" ht="12.75">
      <c r="N25">
        <f>R25/gross1</f>
        <v>0.19</v>
      </c>
      <c r="P25">
        <f>SUM(P21:P24)</f>
        <v>190000</v>
      </c>
      <c r="R25">
        <f>P25</f>
        <v>190000</v>
      </c>
    </row>
    <row r="27" spans="1:18" ht="12.75">
      <c r="A27" t="s">
        <v>172</v>
      </c>
      <c r="O27" s="90" t="s">
        <v>212</v>
      </c>
      <c r="P27" s="90" t="s">
        <v>212</v>
      </c>
      <c r="Q27" s="90" t="s">
        <v>212</v>
      </c>
      <c r="R27">
        <f>gross1-R25</f>
        <v>810000</v>
      </c>
    </row>
    <row r="28" spans="1:15" ht="12.75">
      <c r="A28" t="s">
        <v>173</v>
      </c>
      <c r="D28" t="s">
        <v>174</v>
      </c>
      <c r="F28" t="s">
        <v>175</v>
      </c>
      <c r="N28" s="90" t="s">
        <v>178</v>
      </c>
      <c r="O28" s="90" t="s">
        <v>9</v>
      </c>
    </row>
    <row r="29" spans="1:16" ht="12.75">
      <c r="A29" t="s">
        <v>159</v>
      </c>
      <c r="B29" t="s">
        <v>17</v>
      </c>
      <c r="C29" t="s">
        <v>176</v>
      </c>
      <c r="D29" t="s">
        <v>159</v>
      </c>
      <c r="E29" s="152" t="s">
        <v>177</v>
      </c>
      <c r="F29" t="s">
        <v>178</v>
      </c>
      <c r="N29" s="153">
        <f>A5</f>
        <v>0</v>
      </c>
      <c r="O29">
        <f>300000/asscos-(300000/asscos*R10)</f>
        <v>243000</v>
      </c>
      <c r="P29">
        <f>1200000/asscos-1200000/asscos*R11</f>
        <v>972000</v>
      </c>
    </row>
    <row r="30" spans="1:6" ht="12.75">
      <c r="A30">
        <v>10000</v>
      </c>
      <c r="B30">
        <v>2100</v>
      </c>
      <c r="C30">
        <f aca="true" t="shared" si="0" ref="C30:C51">+A30-B30</f>
        <v>7900</v>
      </c>
      <c r="D30">
        <f aca="true" t="shared" si="1" ref="D30:D51">A30</f>
        <v>10000</v>
      </c>
      <c r="E30" s="152">
        <v>10000</v>
      </c>
      <c r="F30">
        <f>+D30</f>
        <v>10000</v>
      </c>
    </row>
    <row r="31" spans="1:6" ht="12.75">
      <c r="A31">
        <v>20000</v>
      </c>
      <c r="B31">
        <v>4200</v>
      </c>
      <c r="C31">
        <f t="shared" si="0"/>
        <v>15800</v>
      </c>
      <c r="D31">
        <f t="shared" si="1"/>
        <v>20000</v>
      </c>
      <c r="E31" s="152">
        <v>20000</v>
      </c>
      <c r="F31">
        <f aca="true" t="shared" si="2" ref="F31:F51">C31</f>
        <v>15800</v>
      </c>
    </row>
    <row r="32" spans="1:17" ht="12.75">
      <c r="A32">
        <v>30000</v>
      </c>
      <c r="B32">
        <v>6300</v>
      </c>
      <c r="C32">
        <f t="shared" si="0"/>
        <v>23700</v>
      </c>
      <c r="D32">
        <f t="shared" si="1"/>
        <v>30000</v>
      </c>
      <c r="E32" s="152">
        <v>30000</v>
      </c>
      <c r="F32">
        <f t="shared" si="2"/>
        <v>23700</v>
      </c>
      <c r="L32" s="90" t="s">
        <v>9</v>
      </c>
      <c r="M32" s="90" t="s">
        <v>9</v>
      </c>
      <c r="O32">
        <f>IF(N29&gt;O29,O29,N29)</f>
        <v>0</v>
      </c>
      <c r="P32">
        <f>IF((N29-O32)&gt;843000/asscos,843000/asscos,(N29-O32))</f>
        <v>0</v>
      </c>
      <c r="Q32">
        <f>IF((N29-O32-P32)&gt;0,(N29-O32-P32),0)</f>
        <v>0</v>
      </c>
    </row>
    <row r="33" spans="1:6" ht="12.75">
      <c r="A33">
        <v>40000</v>
      </c>
      <c r="B33">
        <v>8400</v>
      </c>
      <c r="C33">
        <f t="shared" si="0"/>
        <v>31600</v>
      </c>
      <c r="D33">
        <f t="shared" si="1"/>
        <v>40000</v>
      </c>
      <c r="E33" s="152">
        <v>40000</v>
      </c>
      <c r="F33">
        <f t="shared" si="2"/>
        <v>31600</v>
      </c>
    </row>
    <row r="34" spans="1:17" ht="12.75">
      <c r="A34">
        <v>50000</v>
      </c>
      <c r="B34">
        <v>10500</v>
      </c>
      <c r="C34">
        <f t="shared" si="0"/>
        <v>39500</v>
      </c>
      <c r="D34">
        <f t="shared" si="1"/>
        <v>50000</v>
      </c>
      <c r="E34" s="152">
        <v>50000</v>
      </c>
      <c r="F34">
        <f t="shared" si="2"/>
        <v>39500</v>
      </c>
      <c r="O34">
        <f>lowerctbandrate</f>
        <v>0.19</v>
      </c>
      <c r="P34">
        <f>uppermarginal</f>
        <v>0.19</v>
      </c>
      <c r="Q34">
        <f>ctaxmainrate</f>
        <v>0.19</v>
      </c>
    </row>
    <row r="35" spans="1:6" ht="12.75">
      <c r="A35">
        <v>60000</v>
      </c>
      <c r="B35">
        <v>12600</v>
      </c>
      <c r="C35">
        <f t="shared" si="0"/>
        <v>47400</v>
      </c>
      <c r="D35">
        <f t="shared" si="1"/>
        <v>60000</v>
      </c>
      <c r="E35" s="152">
        <v>60000</v>
      </c>
      <c r="F35">
        <f t="shared" si="2"/>
        <v>47400</v>
      </c>
    </row>
    <row r="36" spans="1:17" ht="12.75">
      <c r="A36">
        <v>100000</v>
      </c>
      <c r="B36">
        <v>21000</v>
      </c>
      <c r="C36">
        <f t="shared" si="0"/>
        <v>79000</v>
      </c>
      <c r="D36">
        <f t="shared" si="1"/>
        <v>100000</v>
      </c>
      <c r="E36" s="152">
        <v>100000</v>
      </c>
      <c r="F36">
        <f t="shared" si="2"/>
        <v>79000</v>
      </c>
      <c r="N36">
        <f>SUM(O36:R36)</f>
        <v>0</v>
      </c>
      <c r="O36">
        <f>O32/(1-O34)</f>
        <v>0</v>
      </c>
      <c r="P36">
        <f>P32/(1-P34)</f>
        <v>0</v>
      </c>
      <c r="Q36">
        <f>Q32/(1-Q34)</f>
        <v>0</v>
      </c>
    </row>
    <row r="37" spans="1:6" ht="12.75">
      <c r="A37">
        <v>120000</v>
      </c>
      <c r="B37">
        <v>25200</v>
      </c>
      <c r="C37">
        <f t="shared" si="0"/>
        <v>94800</v>
      </c>
      <c r="D37">
        <f t="shared" si="1"/>
        <v>120000</v>
      </c>
      <c r="E37" s="152">
        <v>120000</v>
      </c>
      <c r="F37">
        <f t="shared" si="2"/>
        <v>94800</v>
      </c>
    </row>
    <row r="38" spans="1:14" ht="12.75">
      <c r="A38">
        <v>200000</v>
      </c>
      <c r="B38">
        <v>42000</v>
      </c>
      <c r="C38">
        <f t="shared" si="0"/>
        <v>158000</v>
      </c>
      <c r="D38">
        <f t="shared" si="1"/>
        <v>200000</v>
      </c>
      <c r="E38" s="152">
        <v>200000</v>
      </c>
      <c r="F38">
        <f t="shared" si="2"/>
        <v>158000</v>
      </c>
      <c r="N38" s="153">
        <f>grossedupprofit2-N29</f>
        <v>0</v>
      </c>
    </row>
    <row r="39" spans="1:6" ht="12.75">
      <c r="A39">
        <v>240000</v>
      </c>
      <c r="B39">
        <v>50400</v>
      </c>
      <c r="C39">
        <f t="shared" si="0"/>
        <v>189600</v>
      </c>
      <c r="D39">
        <f t="shared" si="1"/>
        <v>240000</v>
      </c>
      <c r="E39" s="152">
        <v>240000</v>
      </c>
      <c r="F39">
        <f t="shared" si="2"/>
        <v>189600</v>
      </c>
    </row>
    <row r="40" spans="1:6" ht="12.75">
      <c r="A40">
        <v>243000</v>
      </c>
      <c r="B40">
        <v>51030</v>
      </c>
      <c r="C40">
        <f t="shared" si="0"/>
        <v>191970</v>
      </c>
      <c r="D40">
        <f t="shared" si="1"/>
        <v>243000</v>
      </c>
      <c r="E40" s="152">
        <v>243000</v>
      </c>
      <c r="F40">
        <f t="shared" si="2"/>
        <v>191970</v>
      </c>
    </row>
    <row r="41" spans="1:6" ht="12.75">
      <c r="A41">
        <v>250000</v>
      </c>
      <c r="B41">
        <v>52500</v>
      </c>
      <c r="C41">
        <f t="shared" si="0"/>
        <v>197500</v>
      </c>
      <c r="D41">
        <f t="shared" si="1"/>
        <v>250000</v>
      </c>
      <c r="E41" s="152">
        <v>250000</v>
      </c>
      <c r="F41">
        <f t="shared" si="2"/>
        <v>197500</v>
      </c>
    </row>
    <row r="42" spans="1:6" ht="12.75">
      <c r="A42">
        <v>300000</v>
      </c>
      <c r="B42">
        <v>63000</v>
      </c>
      <c r="C42">
        <f t="shared" si="0"/>
        <v>237000</v>
      </c>
      <c r="D42">
        <f t="shared" si="1"/>
        <v>300000</v>
      </c>
      <c r="E42" s="152">
        <v>300000</v>
      </c>
      <c r="F42">
        <f t="shared" si="2"/>
        <v>237000</v>
      </c>
    </row>
    <row r="43" spans="1:6" ht="12.75">
      <c r="A43">
        <v>400000</v>
      </c>
      <c r="B43">
        <v>92750</v>
      </c>
      <c r="C43">
        <f t="shared" si="0"/>
        <v>307250</v>
      </c>
      <c r="D43">
        <f t="shared" si="1"/>
        <v>400000</v>
      </c>
      <c r="E43" s="152">
        <v>400000</v>
      </c>
      <c r="F43">
        <f t="shared" si="2"/>
        <v>307250</v>
      </c>
    </row>
    <row r="44" spans="1:6" ht="12.75">
      <c r="A44">
        <v>500000</v>
      </c>
      <c r="B44" t="s">
        <v>9</v>
      </c>
      <c r="C44" t="e">
        <f t="shared" si="0"/>
        <v>#VALUE!</v>
      </c>
      <c r="D44">
        <f t="shared" si="1"/>
        <v>500000</v>
      </c>
      <c r="E44" s="152"/>
      <c r="F44" t="e">
        <f t="shared" si="2"/>
        <v>#VALUE!</v>
      </c>
    </row>
    <row r="45" spans="1:6" ht="12.75">
      <c r="A45">
        <v>600000</v>
      </c>
      <c r="B45" t="s">
        <v>9</v>
      </c>
      <c r="C45" t="e">
        <f t="shared" si="0"/>
        <v>#VALUE!</v>
      </c>
      <c r="D45">
        <f t="shared" si="1"/>
        <v>600000</v>
      </c>
      <c r="E45" s="152"/>
      <c r="F45" t="e">
        <f t="shared" si="2"/>
        <v>#VALUE!</v>
      </c>
    </row>
    <row r="46" spans="1:6" ht="12.75">
      <c r="A46">
        <v>1000000</v>
      </c>
      <c r="B46" t="s">
        <v>9</v>
      </c>
      <c r="C46" t="e">
        <f t="shared" si="0"/>
        <v>#VALUE!</v>
      </c>
      <c r="D46">
        <f t="shared" si="1"/>
        <v>1000000</v>
      </c>
      <c r="E46" s="152"/>
      <c r="F46" t="e">
        <f t="shared" si="2"/>
        <v>#VALUE!</v>
      </c>
    </row>
    <row r="47" spans="1:6" ht="12.75">
      <c r="A47">
        <v>1050000</v>
      </c>
      <c r="B47" t="s">
        <v>9</v>
      </c>
      <c r="C47" t="e">
        <f t="shared" si="0"/>
        <v>#VALUE!</v>
      </c>
      <c r="D47">
        <f t="shared" si="1"/>
        <v>1050000</v>
      </c>
      <c r="E47" s="152"/>
      <c r="F47" t="e">
        <f t="shared" si="2"/>
        <v>#VALUE!</v>
      </c>
    </row>
    <row r="48" spans="1:6" ht="12.75">
      <c r="A48">
        <v>1400000</v>
      </c>
      <c r="B48" t="s">
        <v>9</v>
      </c>
      <c r="C48" t="e">
        <f t="shared" si="0"/>
        <v>#VALUE!</v>
      </c>
      <c r="D48">
        <f t="shared" si="1"/>
        <v>1400000</v>
      </c>
      <c r="E48" s="152"/>
      <c r="F48" t="e">
        <f t="shared" si="2"/>
        <v>#VALUE!</v>
      </c>
    </row>
    <row r="49" spans="1:6" ht="12.75">
      <c r="A49">
        <v>1500000</v>
      </c>
      <c r="B49" t="s">
        <v>9</v>
      </c>
      <c r="C49" t="e">
        <f t="shared" si="0"/>
        <v>#VALUE!</v>
      </c>
      <c r="D49">
        <f t="shared" si="1"/>
        <v>1500000</v>
      </c>
      <c r="E49" s="152"/>
      <c r="F49" t="e">
        <f t="shared" si="2"/>
        <v>#VALUE!</v>
      </c>
    </row>
    <row r="50" spans="1:6" ht="12.75">
      <c r="A50">
        <v>1600000</v>
      </c>
      <c r="B50" t="s">
        <v>9</v>
      </c>
      <c r="C50" t="e">
        <f t="shared" si="0"/>
        <v>#VALUE!</v>
      </c>
      <c r="D50">
        <f t="shared" si="1"/>
        <v>1600000</v>
      </c>
      <c r="E50" s="152"/>
      <c r="F50" t="e">
        <f t="shared" si="2"/>
        <v>#VALUE!</v>
      </c>
    </row>
    <row r="51" spans="1:6" ht="12.75">
      <c r="A51">
        <v>2000000</v>
      </c>
      <c r="B51" t="s">
        <v>9</v>
      </c>
      <c r="C51" t="e">
        <f t="shared" si="0"/>
        <v>#VALUE!</v>
      </c>
      <c r="D51">
        <f t="shared" si="1"/>
        <v>2000000</v>
      </c>
      <c r="E51" s="152"/>
      <c r="F51" t="e">
        <f t="shared" si="2"/>
        <v>#VALUE!</v>
      </c>
    </row>
    <row r="52" ht="12.75">
      <c r="E52" s="152"/>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Kevin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Bird</dc:creator>
  <cp:keywords/>
  <dc:description/>
  <cp:lastModifiedBy>Steve Bird</cp:lastModifiedBy>
  <cp:lastPrinted>2016-03-18T13:33:43Z</cp:lastPrinted>
  <dcterms:created xsi:type="dcterms:W3CDTF">2002-03-16T20:28:20Z</dcterms:created>
  <dcterms:modified xsi:type="dcterms:W3CDTF">2019-07-09T09:59:50Z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1764891444</vt:i4>
  </property>
  <property fmtid="{D5CDD505-2E9C-101B-9397-08002B2CF9AE}" pid="3" name="_EmailSubject">
    <vt:lpwstr>Incorporation spreadsheet</vt:lpwstr>
  </property>
  <property fmtid="{D5CDD505-2E9C-101B-9397-08002B2CF9AE}" pid="4" name="_AuthorEmail">
    <vt:lpwstr>peter.boddis@tjca.co.uk</vt:lpwstr>
  </property>
  <property fmtid="{D5CDD505-2E9C-101B-9397-08002B2CF9AE}" pid="5" name="_AuthorEmailDisplayName">
    <vt:lpwstr>Peter Boddis</vt:lpwstr>
  </property>
  <property fmtid="{D5CDD505-2E9C-101B-9397-08002B2CF9AE}" pid="6" name="_ReviewingToolsShownOnce">
    <vt:lpwstr/>
  </property>
</Properties>
</file>