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2767" yWindow="32767" windowWidth="18876" windowHeight="8328" activeTab="0"/>
  </bookViews>
  <sheets>
    <sheet name="Front" sheetId="1" r:id="rId1"/>
    <sheet name="New" sheetId="2" r:id="rId2"/>
    <sheet name="Tax Payable" sheetId="3" r:id="rId3"/>
    <sheet name="Estate" sheetId="4" r:id="rId4"/>
    <sheet name="Lifetime Gifts" sheetId="5" r:id="rId5"/>
    <sheet name="Lifetime Workings" sheetId="6" r:id="rId6"/>
    <sheet name="QSR" sheetId="7" r:id="rId7"/>
    <sheet name="Lookup" sheetId="8" r:id="rId8"/>
    <sheet name="Death Chargeable Gifts" sheetId="9" r:id="rId9"/>
    <sheet name="Death Workings " sheetId="10" r:id="rId10"/>
    <sheet name="Will" sheetId="11" r:id="rId11"/>
    <sheet name="Hypothetical Tax Calc" sheetId="12" r:id="rId12"/>
    <sheet name="£nil Rates and Tax %" sheetId="13" r:id="rId13"/>
    <sheet name="Reliefs" sheetId="14" r:id="rId14"/>
    <sheet name="Help" sheetId="15" r:id="rId15"/>
    <sheet name="PSW_Sheet" sheetId="16" state="veryHidden" r:id="rId16"/>
  </sheets>
  <definedNames>
    <definedName name="assetsintrustestate">'Estate'!$F$55</definedName>
    <definedName name="deathreview">'Front'!$S$17</definedName>
    <definedName name="doneetaxpaid">'Lifetime Gifts'!$AE$45</definedName>
    <definedName name="donortaxpaid">'Lifetime Gifts'!$AC$45</definedName>
    <definedName name="jointassets">'Estate'!$J$45</definedName>
    <definedName name="memoaprbpr">'Estate'!$D$29</definedName>
    <definedName name="nil_rate_tax_band">'Tax Payable'!$C$8</definedName>
    <definedName name="orderOfDeath">'Estate'!$X$2</definedName>
    <definedName name="_xlnm.Print_Area" localSheetId="8">'Death Chargeable Gifts'!$L$2:$AO$50</definedName>
    <definedName name="_xlnm.Print_Area" localSheetId="3">'Estate'!$A$1:$L$86</definedName>
    <definedName name="_xlnm.Print_Area" localSheetId="14">'Help'!$A$4:$R$67</definedName>
    <definedName name="_xlnm.Print_Area" localSheetId="11">'Hypothetical Tax Calc'!$A$2:$H$89</definedName>
    <definedName name="_xlnm.Print_Area" localSheetId="4">'Lifetime Gifts'!$A$2:$AF$45</definedName>
    <definedName name="_xlnm.Print_Area" localSheetId="13">'Reliefs'!$A$3:$E$35</definedName>
    <definedName name="_xlnm.Print_Area" localSheetId="10">'Will'!$A$3:$I$61</definedName>
    <definedName name="Review">'Front'!$T$17</definedName>
    <definedName name="revisedtaxpercent">'Hypothetical Tax Calc'!$F$75</definedName>
    <definedName name="soleassets">'Estate'!$O$50</definedName>
    <definedName name="specificLegacies">'Will'!$N$43</definedName>
    <definedName name="spouseassets">'Estate'!$H$45</definedName>
    <definedName name="SpreadsheetWEBAction" hidden="1">'PSW_Sheet'!$K$1</definedName>
    <definedName name="SpreadsheetWEBApplicationId" hidden="1">'PSW_Sheet'!$F$1</definedName>
    <definedName name="SpreadsheetWEBAttachment" hidden="1">'PSW_Sheet'!$L$1</definedName>
    <definedName name="SpreadsheetwebCounter" hidden="1">'PSW_Sheet'!$O$1</definedName>
    <definedName name="SpreadsheetWEBDataEditID" hidden="1">'PSW_Sheet'!$H$1</definedName>
    <definedName name="SpreadsheetWEBDataID" hidden="1">'PSW_Sheet'!$G$1</definedName>
    <definedName name="SpreadsheetWEBInternalConnection" hidden="1">'PSW_Sheet'!$C$1</definedName>
    <definedName name="SpreadsheetwebNow" hidden="1">'PSW_Sheet'!$N$1</definedName>
    <definedName name="SpreadsheetWEBStatusIndex" hidden="1">'PSW_Sheet'!$I$1</definedName>
    <definedName name="SpreadsheetWEBUserEmail" hidden="1">'PSW_Sheet'!$J$1</definedName>
    <definedName name="SpreadsheetWEBUserInfo" hidden="1">'PSW_Sheet'!$M$1</definedName>
    <definedName name="SpreadsheetWEBUserName" hidden="1">'PSW_Sheet'!$D$1</definedName>
    <definedName name="SpreadsheetWEBUserRole" hidden="1">'PSW_Sheet'!$E$1</definedName>
    <definedName name="TotalDutiableEstate">'Estate'!$F$57</definedName>
    <definedName name="TotalGrossEstate">'Estate'!$F$51</definedName>
    <definedName name="transferoutside7years">'Death Chargeable Gifts'!$Q$43</definedName>
    <definedName name="transferwithin7years">'Death Chargeable Gifts'!$Q$45</definedName>
    <definedName name="Unused_nil_rate_band_on_first_death">'Tax Payable'!$C$12</definedName>
  </definedNames>
  <calcPr fullCalcOnLoad="1" iterate="1" iterateCount="100" iterateDelta="0.001"/>
</workbook>
</file>

<file path=xl/comments11.xml><?xml version="1.0" encoding="utf-8"?>
<comments xmlns="http://schemas.openxmlformats.org/spreadsheetml/2006/main">
  <authors>
    <author>Kevin</author>
    <author> </author>
  </authors>
  <commentList>
    <comment ref="B11" authorId="0">
      <text>
        <r>
          <rPr>
            <sz val="8"/>
            <rFont val="Tahoma"/>
            <family val="2"/>
          </rPr>
          <t xml:space="preserve">If no specific gifts of business property are defined in the will then the BPR is apportioned between each of the specific gifts and the residue i.e.each is multiplied by estate less BPR/estate before BPR.
</t>
        </r>
      </text>
    </comment>
    <comment ref="B7" authorId="0">
      <text>
        <r>
          <rPr>
            <sz val="8"/>
            <rFont val="Tahoma"/>
            <family val="2"/>
          </rPr>
          <t xml:space="preserve">This may differ from the estate page total as joint assets will be deemed to pass by survivorship to the spouse
</t>
        </r>
      </text>
    </comment>
    <comment ref="E47" authorId="1">
      <text>
        <r>
          <rPr>
            <sz val="8"/>
            <rFont val="Tahoma"/>
            <family val="2"/>
          </rPr>
          <t xml:space="preserve">Do NOT type figures in here or you overwrite the formula
</t>
        </r>
      </text>
    </comment>
    <comment ref="E51" authorId="1">
      <text>
        <r>
          <rPr>
            <sz val="8"/>
            <rFont val="Tahoma"/>
            <family val="2"/>
          </rPr>
          <t xml:space="preserve">Do NOT type figures in here or you overwrite the formula
</t>
        </r>
      </text>
    </comment>
    <comment ref="E53" authorId="1">
      <text>
        <r>
          <rPr>
            <sz val="8"/>
            <rFont val="Tahoma"/>
            <family val="2"/>
          </rPr>
          <t xml:space="preserve">Do NOT type figures in here or you overwrite the formula
</t>
        </r>
      </text>
    </comment>
    <comment ref="E49" authorId="1">
      <text>
        <r>
          <rPr>
            <sz val="8"/>
            <rFont val="Tahoma"/>
            <family val="2"/>
          </rPr>
          <t xml:space="preserve">Do NOT type figures in here or you overwrite the formula
</t>
        </r>
      </text>
    </comment>
  </commentList>
</comments>
</file>

<file path=xl/comments3.xml><?xml version="1.0" encoding="utf-8"?>
<comments xmlns="http://schemas.openxmlformats.org/spreadsheetml/2006/main">
  <authors>
    <author>Kevin</author>
    <author>Brian</author>
    <author>Brian Wharton</author>
  </authors>
  <commentList>
    <comment ref="G50" authorId="0">
      <text>
        <r>
          <rPr>
            <sz val="8"/>
            <rFont val="Tahoma"/>
            <family val="2"/>
          </rPr>
          <t xml:space="preserve">This may be restricted and is not necessarily the 
actual tax paid!! </t>
        </r>
      </text>
    </comment>
    <comment ref="C12" authorId="1">
      <text>
        <r>
          <rPr>
            <sz val="8"/>
            <rFont val="Tahoma"/>
            <family val="2"/>
          </rPr>
          <t>Enter as a pecentage the balance of the unused £nil rate band on first death i.e. died 30/4/1996 with £nil rate band of £200,000 with one chargeable transfer £50,000 then unused would be £150,000 expressed as 75%. This relief is available to the surviving spouse or civil partner after 10 October 2007.</t>
        </r>
      </text>
    </comment>
    <comment ref="C18" authorId="2">
      <text>
        <r>
          <rPr>
            <b/>
            <sz val="9"/>
            <rFont val="Tahoma"/>
            <family val="2"/>
          </rPr>
          <t>Brian Wharton:</t>
        </r>
        <r>
          <rPr>
            <sz val="9"/>
            <rFont val="Tahoma"/>
            <family val="2"/>
          </rPr>
          <t xml:space="preserve">
Enter value of property left to direct descendants
</t>
        </r>
      </text>
    </comment>
    <comment ref="C20" authorId="2">
      <text>
        <r>
          <rPr>
            <b/>
            <sz val="9"/>
            <rFont val="Tahoma"/>
            <family val="2"/>
          </rPr>
          <t>Brian Wharton:</t>
        </r>
        <r>
          <rPr>
            <sz val="9"/>
            <rFont val="Tahoma"/>
            <family val="2"/>
          </rPr>
          <t xml:space="preserve">
Enter as a % unsed RNRB from first death 
 </t>
        </r>
      </text>
    </comment>
    <comment ref="G52" authorId="2">
      <text>
        <r>
          <rPr>
            <sz val="9"/>
            <rFont val="Tahoma"/>
            <family val="2"/>
          </rPr>
          <t xml:space="preserve">If relief available enter details in QSR page.
Relief restricted amount of IHT Payable.
</t>
        </r>
      </text>
    </comment>
  </commentList>
</comments>
</file>

<file path=xl/comments4.xml><?xml version="1.0" encoding="utf-8"?>
<comments xmlns="http://schemas.openxmlformats.org/spreadsheetml/2006/main">
  <authors>
    <author>Kevin</author>
    <author>KS</author>
  </authors>
  <commentList>
    <comment ref="D13" authorId="0">
      <text>
        <r>
          <rPr>
            <sz val="8"/>
            <rFont val="Tahoma"/>
            <family val="2"/>
          </rPr>
          <t xml:space="preserve">Include PEPs ISAs etc
</t>
        </r>
      </text>
    </comment>
    <comment ref="C45" authorId="0">
      <text>
        <r>
          <rPr>
            <sz val="8"/>
            <rFont val="Tahoma"/>
            <family val="2"/>
          </rPr>
          <t xml:space="preserve">The default setting is that 100% of the jointly owned assets pass across in a second death scenario. In first death scenario it is assumed that 50% of the joint assets fall into the estate. However for the IHT calculation these will be deemed to pass by survivorship to the spouse.
</t>
        </r>
      </text>
    </comment>
    <comment ref="G47" authorId="0">
      <text>
        <r>
          <rPr>
            <sz val="8"/>
            <rFont val="Tahoma"/>
            <family val="2"/>
          </rPr>
          <t xml:space="preserve">Enter IHTand any legacies coming out of the personal assets of the spouse. Do not enter as a negative figure.
</t>
        </r>
      </text>
    </comment>
    <comment ref="D35" authorId="0">
      <text>
        <r>
          <rPr>
            <sz val="8"/>
            <rFont val="Tahoma"/>
            <family val="2"/>
          </rPr>
          <t xml:space="preserve">Include future anticipated inheritances if this is a "review"
</t>
        </r>
      </text>
    </comment>
    <comment ref="D7" authorId="0">
      <text>
        <r>
          <rPr>
            <b/>
            <sz val="8"/>
            <rFont val="Tahoma"/>
            <family val="2"/>
          </rPr>
          <t xml:space="preserve">You MUST enter a date in here. The default is the system date.
</t>
        </r>
      </text>
    </comment>
    <comment ref="D2" authorId="0">
      <text>
        <r>
          <rPr>
            <sz val="8"/>
            <rFont val="Tahoma"/>
            <family val="2"/>
          </rPr>
          <t xml:space="preserve">
Ensure the correct option is highlighted in blue. If first death then any assets in the spouse or joint column will not be taken into account in calculating IHT. It is assumed that the assets held jointly pass by survivorship to the spouse. 
If second death, it is assumed that the deceased would have inherited the spouse's assets and the jointly held assets by survivorship.
</t>
        </r>
      </text>
    </comment>
    <comment ref="C47" authorId="0">
      <text>
        <r>
          <rPr>
            <sz val="8"/>
            <rFont val="Tahoma"/>
            <family val="2"/>
          </rPr>
          <t xml:space="preserve">In a first death scenario the assets held by spouse are ignored in the calculation of the gross estate. In a second death scenario it is assumed that the A-B total will fall into the estate of the second to die. 
</t>
        </r>
      </text>
    </comment>
    <comment ref="B53" authorId="0">
      <text>
        <r>
          <rPr>
            <b/>
            <sz val="8"/>
            <rFont val="Tahoma"/>
            <family val="2"/>
          </rPr>
          <t>Go to the Lifetime Gifts page and complete it. The figures will be driven in from that page.</t>
        </r>
      </text>
    </comment>
    <comment ref="D29" authorId="1">
      <text>
        <r>
          <rPr>
            <sz val="8"/>
            <rFont val="Tahoma"/>
            <family val="2"/>
          </rPr>
          <t xml:space="preserve">Insert the APR/BPR being claimed as a memo figure here ONLY IF  there IS no specific gift of business property defined in the will
</t>
        </r>
      </text>
    </comment>
  </commentList>
</comments>
</file>

<file path=xl/comments5.xml><?xml version="1.0" encoding="utf-8"?>
<comments xmlns="http://schemas.openxmlformats.org/spreadsheetml/2006/main">
  <authors>
    <author>Kevin</author>
  </authors>
  <commentList>
    <comment ref="X3" authorId="0">
      <text>
        <r>
          <rPr>
            <sz val="8"/>
            <rFont val="Tahoma"/>
            <family val="2"/>
          </rPr>
          <t>Donor is assumed to be liable for IHT in the absence of any evidence to the contrary.</t>
        </r>
      </text>
    </comment>
  </commentList>
</comments>
</file>

<file path=xl/sharedStrings.xml><?xml version="1.0" encoding="utf-8"?>
<sst xmlns="http://schemas.openxmlformats.org/spreadsheetml/2006/main" count="462" uniqueCount="285">
  <si>
    <t>Cash other than at bank</t>
  </si>
  <si>
    <t>Money in bank accounts</t>
  </si>
  <si>
    <t>Quoted stock and shares</t>
  </si>
  <si>
    <t xml:space="preserve">Insurance policies including bonuses on with profits </t>
  </si>
  <si>
    <t>Saving certificates and National Savings Investments</t>
  </si>
  <si>
    <t>and mortgage protection policies</t>
  </si>
  <si>
    <t>Money in building societies or savings banks</t>
  </si>
  <si>
    <t>including accrued interest</t>
  </si>
  <si>
    <t>Household and personal goods e.g. cars, furniture</t>
  </si>
  <si>
    <t>Salary or pension owed by employer</t>
  </si>
  <si>
    <t>Assets held as tenants in common</t>
  </si>
  <si>
    <t xml:space="preserve">Any other assets not listed above </t>
  </si>
  <si>
    <t>£</t>
  </si>
  <si>
    <t>Name of person</t>
  </si>
  <si>
    <t xml:space="preserve">Assets outside of UK </t>
  </si>
  <si>
    <t>Nominated assets</t>
  </si>
  <si>
    <t>Total gross estate</t>
  </si>
  <si>
    <t>Value of assets held in trust</t>
  </si>
  <si>
    <t>Partnership and business interests, net of APR or BPR</t>
  </si>
  <si>
    <t>Funeral expenses</t>
  </si>
  <si>
    <t>Mortgage in name of person</t>
  </si>
  <si>
    <t>Total debt owing in UK</t>
  </si>
  <si>
    <t>Debts owing to persons outside UK</t>
  </si>
  <si>
    <t xml:space="preserve">Debts payable out of joint assets </t>
  </si>
  <si>
    <t>Total debts</t>
  </si>
  <si>
    <t>Total net estate</t>
  </si>
  <si>
    <t>ESTATE VALUE</t>
  </si>
  <si>
    <t>ICT</t>
  </si>
  <si>
    <t>PET</t>
  </si>
  <si>
    <t>Description of Gift</t>
  </si>
  <si>
    <t>Days Past</t>
  </si>
  <si>
    <t>Chargeable</t>
  </si>
  <si>
    <t xml:space="preserve"> </t>
  </si>
  <si>
    <t>Tax %</t>
  </si>
  <si>
    <t>Donee</t>
  </si>
  <si>
    <t>Donor</t>
  </si>
  <si>
    <t>Lifetime</t>
  </si>
  <si>
    <t>£nil rate band</t>
  </si>
  <si>
    <t>Date</t>
  </si>
  <si>
    <t>Latest First</t>
  </si>
  <si>
    <t>Gross Value £</t>
  </si>
  <si>
    <t>The Estate of</t>
  </si>
  <si>
    <t>IHT Calculation</t>
  </si>
  <si>
    <t>Tax</t>
  </si>
  <si>
    <t>Discount</t>
  </si>
  <si>
    <t>£nil rate tax band</t>
  </si>
  <si>
    <t>Death rate tax %</t>
  </si>
  <si>
    <t>Previous chargeable transfers</t>
  </si>
  <si>
    <t>Taxable</t>
  </si>
  <si>
    <t>Tax Due</t>
  </si>
  <si>
    <t>Value of estate at death</t>
  </si>
  <si>
    <t>Balance of £nil rate band</t>
  </si>
  <si>
    <t>Tax paid outside 7 years</t>
  </si>
  <si>
    <t>Exempt</t>
  </si>
  <si>
    <t>Notes</t>
  </si>
  <si>
    <t>Enter whether tax payable by Donor or Donee</t>
  </si>
  <si>
    <t>Enter % lifetime tax rate in operation at date of transfer</t>
  </si>
  <si>
    <t>Enter all lifetime transfers in last 7 years from death or review date</t>
  </si>
  <si>
    <r>
      <t>If within this 7 years there is a ICT (</t>
    </r>
    <r>
      <rPr>
        <b/>
        <sz val="10"/>
        <rFont val="ZapfHumnst BT"/>
        <family val="0"/>
      </rPr>
      <t>I</t>
    </r>
    <r>
      <rPr>
        <sz val="10"/>
        <rFont val="ZapfHumnst BT"/>
        <family val="0"/>
      </rPr>
      <t xml:space="preserve">mmediately </t>
    </r>
    <r>
      <rPr>
        <b/>
        <sz val="10"/>
        <rFont val="ZapfHumnst BT"/>
        <family val="0"/>
      </rPr>
      <t>C</t>
    </r>
    <r>
      <rPr>
        <sz val="10"/>
        <rFont val="ZapfHumnst BT"/>
        <family val="0"/>
      </rPr>
      <t xml:space="preserve">hargeable </t>
    </r>
    <r>
      <rPr>
        <b/>
        <sz val="10"/>
        <rFont val="ZapfHumnst BT"/>
        <family val="0"/>
      </rPr>
      <t>T</t>
    </r>
    <r>
      <rPr>
        <sz val="10"/>
        <rFont val="ZapfHumnst BT"/>
        <family val="0"/>
      </rPr>
      <t>ransfer) then enter next 7years transfers after date of last ICT</t>
    </r>
  </si>
  <si>
    <t>or Reliefs</t>
  </si>
  <si>
    <t xml:space="preserve">Analyse each transfer as either an Exempt or covered by Relief's (see attached relief spreadsheet) or PET and the balance will fall as an ICT </t>
  </si>
  <si>
    <t>NB</t>
  </si>
  <si>
    <t>2 annual exemptions are available if in the previous year the relief was not used</t>
  </si>
  <si>
    <t>Enter £nil rate band operated on ICT at time of transfer</t>
  </si>
  <si>
    <t>Estate</t>
  </si>
  <si>
    <t>Gross Tax</t>
  </si>
  <si>
    <t xml:space="preserve">Net Tax </t>
  </si>
  <si>
    <t>Transfers outside 7 years</t>
  </si>
  <si>
    <t>Transfers within 7 years</t>
  </si>
  <si>
    <t>Type</t>
  </si>
  <si>
    <t>Nature</t>
  </si>
  <si>
    <t>Value</t>
  </si>
  <si>
    <t>Exempt for lifetime transfers</t>
  </si>
  <si>
    <t>Exempt for lifetime and death transfers</t>
  </si>
  <si>
    <t>Business property relief</t>
  </si>
  <si>
    <t>Agricultural property relief</t>
  </si>
  <si>
    <t>Normal expenditure out of income</t>
  </si>
  <si>
    <t>Unlimited</t>
  </si>
  <si>
    <t>Gifts in consideration of marriage - parents of either party</t>
  </si>
  <si>
    <t>Gifts in consideration of marriage - One party to the other</t>
  </si>
  <si>
    <t>Gifts in consideration of marriage - Any other person</t>
  </si>
  <si>
    <t>Transfers between spouses</t>
  </si>
  <si>
    <t>100%</t>
  </si>
  <si>
    <t>Gifts to charities</t>
  </si>
  <si>
    <t>Gifts to political parties</t>
  </si>
  <si>
    <t>Gifts to housing associations</t>
  </si>
  <si>
    <t>Gifts for national purposes</t>
  </si>
  <si>
    <t>Gifts for public benefit</t>
  </si>
  <si>
    <t>PETs of property subsequently held for national purposes etc.</t>
  </si>
  <si>
    <t>Maintenance funds for historic buildings</t>
  </si>
  <si>
    <t>Employee trusts</t>
  </si>
  <si>
    <t>Conditional transfers</t>
  </si>
  <si>
    <t>Business or interest in a business</t>
  </si>
  <si>
    <t>Control holding in quoted company</t>
  </si>
  <si>
    <t>50%</t>
  </si>
  <si>
    <t>Gift to non-UK domiciled spouse</t>
  </si>
  <si>
    <t>Gifts in consideration of marriage - Grandparents or remoter ancestors of either party</t>
  </si>
  <si>
    <t>Agricultural land let on or after 1/9/1995</t>
  </si>
  <si>
    <t>Other circumstances</t>
  </si>
  <si>
    <t>Settled property used in business of life tenant</t>
  </si>
  <si>
    <t>Land, buildings, machinery or plant used for business of transferor's company or partnership</t>
  </si>
  <si>
    <t>Vacant possession or right thereto within 12 months</t>
  </si>
  <si>
    <t>Was entitled to 50% relief at 9/3/1981 and not since able to obtain vacant possession</t>
  </si>
  <si>
    <t xml:space="preserve">IHT £NIL RATE BANDS AND TAX RATES </t>
  </si>
  <si>
    <t>Dates From</t>
  </si>
  <si>
    <t>£Nil Rate</t>
  </si>
  <si>
    <t>Death</t>
  </si>
  <si>
    <t>Gross</t>
  </si>
  <si>
    <t>Net</t>
  </si>
  <si>
    <t>Unquoted stock and shares, net of APR or BPR</t>
  </si>
  <si>
    <t>Total dutiable estate</t>
  </si>
  <si>
    <t>LIFETIME GIFTS IN LAST 7 YEARS ( 14 YEARS IF ICT GIFT IN LAST 7 YEARS )</t>
  </si>
  <si>
    <t>IHT liability</t>
  </si>
  <si>
    <t>IHT Payable</t>
  </si>
  <si>
    <t>Less tax originally paid in last 7 years</t>
  </si>
  <si>
    <t>Donee/Trustee</t>
  </si>
  <si>
    <t>Enter details of estate in the yellow highlighted boxes</t>
  </si>
  <si>
    <t xml:space="preserve">given in the "Lifetime Gifts" worksheet </t>
  </si>
  <si>
    <t>IHT RELIEFS</t>
  </si>
  <si>
    <t>Previous gifts now chargeable</t>
  </si>
  <si>
    <t>Tax paid by Donor (1) or Donee (2)</t>
  </si>
  <si>
    <t>The previous chargeable gifts is automatically calculated from the details</t>
  </si>
  <si>
    <t>Spouse</t>
  </si>
  <si>
    <t>Joint</t>
  </si>
  <si>
    <t>Joint assets passing wholly to surviving joint owner</t>
  </si>
  <si>
    <t>A</t>
  </si>
  <si>
    <t>Whats New?</t>
  </si>
  <si>
    <t>IHT / Legacies etc</t>
  </si>
  <si>
    <t>B</t>
  </si>
  <si>
    <t>Assets passing from spouse (net of IHT/legacies etc (A-B))</t>
  </si>
  <si>
    <t>ESTATE AND WILL INSTRUCTIONS</t>
  </si>
  <si>
    <t>Balance of</t>
  </si>
  <si>
    <t>Estate £</t>
  </si>
  <si>
    <t>Personal and real estate</t>
  </si>
  <si>
    <t>Settled property</t>
  </si>
  <si>
    <t>Gross up estate for BPR or APR where no specific gifts of business property</t>
  </si>
  <si>
    <t>Gross estate</t>
  </si>
  <si>
    <t>Tax free legacies</t>
  </si>
  <si>
    <t>Gross Value</t>
  </si>
  <si>
    <t>BPR</t>
  </si>
  <si>
    <t>Net Value</t>
  </si>
  <si>
    <t>Other legacies</t>
  </si>
  <si>
    <t>Charities and other exempt legacies</t>
  </si>
  <si>
    <t>Real estate, chattels and other specific assets to spouse</t>
  </si>
  <si>
    <t>Residue of estate</t>
  </si>
  <si>
    <t>LEGACIES AND ESTATE RESIDUE</t>
  </si>
  <si>
    <t>Ist Calculation</t>
  </si>
  <si>
    <t>Re-calculation</t>
  </si>
  <si>
    <t>Tax Payable</t>
  </si>
  <si>
    <t>Tax payable on tax free legacies</t>
  </si>
  <si>
    <t>Estate available for other legacies</t>
  </si>
  <si>
    <t>Hypothetical Chargeable Estate</t>
  </si>
  <si>
    <t>Hypothetical chargeable estate</t>
  </si>
  <si>
    <t>Assumed tax rate</t>
  </si>
  <si>
    <t>Re-gross tax free legacy</t>
  </si>
  <si>
    <t>Other Legacies</t>
  </si>
  <si>
    <t>Gross legacies</t>
  </si>
  <si>
    <t>Gross legacies and charity</t>
  </si>
  <si>
    <t>Residue</t>
  </si>
  <si>
    <t>Exempt joint property passing by survivorship</t>
  </si>
  <si>
    <t>Exempt legacies</t>
  </si>
  <si>
    <t>Exempt  residue</t>
  </si>
  <si>
    <t>CHARGEABLE LIFETIME GIFTS</t>
  </si>
  <si>
    <t>There are no data entry fields on this page</t>
  </si>
  <si>
    <t>How to use the model</t>
  </si>
  <si>
    <t>Estate Page</t>
  </si>
  <si>
    <t>Lifetime Gifts page</t>
  </si>
  <si>
    <t>It is then necessary to consider any previous lifetime gifts that may have been made.</t>
  </si>
  <si>
    <t>Use spinners to select</t>
  </si>
  <si>
    <t>Death Chargeable Gifts Page</t>
  </si>
  <si>
    <t>Use the spinners to choose who is to pay any IHT on the gifts - 1 inserts Donor and 2 inserts Donee into the appropriate field.</t>
  </si>
  <si>
    <t>There is no data entry required on this page. It takes into account lifetime gifts and then calculates any additional IHT that may be due as a result of the death.</t>
  </si>
  <si>
    <t>Estate and Will instructions</t>
  </si>
  <si>
    <t>Hypothetical tax calculation</t>
  </si>
  <si>
    <t>There is no data entry required on this page. This page is used to calculate the IHT that then feeds into the Tax page.</t>
  </si>
  <si>
    <t>Reliefs</t>
  </si>
  <si>
    <t>Nil rates and tax %</t>
  </si>
  <si>
    <r>
      <t xml:space="preserve">Enter dates  in chronological order starting with </t>
    </r>
    <r>
      <rPr>
        <b/>
        <sz val="10"/>
        <color indexed="10"/>
        <rFont val="ZapfHumnst BT"/>
        <family val="0"/>
      </rPr>
      <t>most recent transfer first</t>
    </r>
    <r>
      <rPr>
        <sz val="10"/>
        <rFont val="ZapfHumnst BT"/>
        <family val="0"/>
      </rPr>
      <t xml:space="preserve"> with gross value £ of transfer</t>
    </r>
  </si>
  <si>
    <r>
      <t>Enter dates  in chronological order starting with</t>
    </r>
    <r>
      <rPr>
        <b/>
        <i/>
        <sz val="10"/>
        <color indexed="10"/>
        <rFont val="ZapfHumnst BT"/>
        <family val="0"/>
      </rPr>
      <t xml:space="preserve"> most recent transfer first</t>
    </r>
    <r>
      <rPr>
        <i/>
        <sz val="10"/>
        <rFont val="ZapfHumnst BT"/>
        <family val="0"/>
      </rPr>
      <t xml:space="preserve"> with gross value £ of transfer</t>
    </r>
  </si>
  <si>
    <t>Analyse each transfer as either an Exempt or covered by Relief's (see reliefs page) or PET and the balance will fall as an ICT. If it is not an ICT enter the value of the gift (net of exemptions) into the PET column as well.</t>
  </si>
  <si>
    <r>
      <t xml:space="preserve">Notes </t>
    </r>
    <r>
      <rPr>
        <b/>
        <i/>
        <sz val="8"/>
        <rFont val="ZapfHumnst BT"/>
        <family val="0"/>
      </rPr>
      <t>(these do not print)</t>
    </r>
  </si>
  <si>
    <t>Spouse and other exempt gifts (e.g. charities) out of the residue</t>
  </si>
  <si>
    <t>% distr'n</t>
  </si>
  <si>
    <t xml:space="preserve">The residue is automatically entered. You may need to alter the percentages </t>
  </si>
  <si>
    <t>Only updates since the first release version are listed here.</t>
  </si>
  <si>
    <t>Self</t>
  </si>
  <si>
    <t>SPOUSE</t>
  </si>
  <si>
    <t>SELF</t>
  </si>
  <si>
    <t>TO</t>
  </si>
  <si>
    <t>Note that a gift is a PET unless it is an ICT.</t>
  </si>
  <si>
    <t>Review</t>
  </si>
  <si>
    <t>Ignore IHT payable on this page - enter the amounts etc per the will</t>
  </si>
  <si>
    <t>Best viewed at 1024*768 resolution</t>
  </si>
  <si>
    <t>Tax Paid £</t>
  </si>
  <si>
    <t>Payable £</t>
  </si>
  <si>
    <t>Highlight "Review" or  "Death" calculation</t>
  </si>
  <si>
    <t>first</t>
  </si>
  <si>
    <t>second</t>
  </si>
  <si>
    <t>Interest in freehold or leasehold property</t>
  </si>
  <si>
    <t>Sub total</t>
  </si>
  <si>
    <t>Spouse and other exempt gifts out of the residue</t>
  </si>
  <si>
    <t>First death or second death calculation? Hover over red triangle for "help"</t>
  </si>
  <si>
    <t>Note - this model is based on the tax laws</t>
  </si>
  <si>
    <t>applicable in England and Wales.</t>
  </si>
  <si>
    <t>On this page you will enter any legacies to charity, other legacies etc.  You need to complete this page for the model to work properly. If there are insufficient funds for specific legacies you will need to use the residue section instead. In the residue section, a 100% distribution is automatically entered. Use the spinners to change the percentages between spouse etc and any other distributions.</t>
  </si>
  <si>
    <t>There is no data entry required on this page. This page is provided for reference only and does not form part of the calculations.</t>
  </si>
  <si>
    <t>From the front screen, on clicking on the Enter button, you will be taken to the Estate page. It is assumed that all jointly held assets will pass to the survivor. If there are assets inherited from the spouse (i.e. you are doing a second death scenario) then it will be necessary to do a calculation on first death as a separate exercise to calculate any IHT that may be payable. If all assets are left to the survivor in the will then there will obviously be no need to do this exercise. You can switch the Self and Spouse columns to avoid rekeying data by pressing the "switch s/w" button which reverses the columns. Note that you cannot enter prior lifetime gifts on this page. The figure feeds in to here from the Lifetime Gifts page.</t>
  </si>
  <si>
    <t>Enter on here the zero rate band (if different from the default setting).</t>
  </si>
  <si>
    <t>Cumulative</t>
  </si>
  <si>
    <t>Transfers</t>
  </si>
  <si>
    <t>Lifetime transfers older than 7 years from the final transfer will be automatically removed from the cumulative balance and are highlighted in green</t>
  </si>
  <si>
    <t>Cum Tfr</t>
  </si>
  <si>
    <t>Available</t>
  </si>
  <si>
    <t>Used</t>
  </si>
  <si>
    <t>The £nil rate band operated on ICT at time of transfer will be automatically calculated</t>
  </si>
  <si>
    <t>This sheet was primarily designed to record the lifetime transfers within 7-14 years of death to review the potential additional tax liabilities</t>
  </si>
  <si>
    <t>The sheet can also be used to keep a record of lifetime transfers and calculate the IHT payable on lifetime transfers</t>
  </si>
  <si>
    <t>Unused % of £nil rate band on first death</t>
  </si>
  <si>
    <t>Debts owed e.g. income tax, credit cards, professional fees etc</t>
  </si>
  <si>
    <t>Updated to reflect October 2007 changes</t>
  </si>
  <si>
    <t>Holding in unquoted shares including shares in USM/AIM companies held for more than 2 years</t>
  </si>
  <si>
    <t>Amended 14/11/2010</t>
  </si>
  <si>
    <t>Original Nil</t>
  </si>
  <si>
    <t xml:space="preserve">Rate Band </t>
  </si>
  <si>
    <t>Figures</t>
  </si>
  <si>
    <t>Add unused</t>
  </si>
  <si>
    <t>NRB</t>
  </si>
  <si>
    <t xml:space="preserve">Based on figure in </t>
  </si>
  <si>
    <t>tax payable page</t>
  </si>
  <si>
    <t>And NIL Rate Band at date of death</t>
  </si>
  <si>
    <t>Daughter</t>
  </si>
  <si>
    <r>
      <t xml:space="preserve">A tool to assist in calculating potential or actual inheritance tax liabilities, taking into account other lifetime gifts, lifetime IHT paid etc.
</t>
    </r>
    <r>
      <rPr>
        <b/>
        <sz val="10"/>
        <color indexed="18"/>
        <rFont val="Tahoma"/>
        <family val="2"/>
      </rPr>
      <t>Copyright BBS Computing Ltd, 2020 Innovation Group Ltd and Brian Wharton</t>
    </r>
  </si>
  <si>
    <t>Thanks to Brian Wharton for providing the framework for this model</t>
  </si>
  <si>
    <t>DISCLAIMER - This tool is for general use and not every possible scenario that could exist is covered. You are advised to use the output with care. BBS Computing Ltd, Brian Wharton and 2020 Innovation Group Ltd accept no responsibility as a result of any action or inaction in using this tool.</t>
  </si>
  <si>
    <t>For deaths on or after 6 April 2012 a lower rate of IHT of 36% was introduced where 10% or more of as deceased person's net estate is left to charity</t>
  </si>
  <si>
    <t>If reduction to 36% applicable tick box</t>
  </si>
  <si>
    <t>£nil Rate Band</t>
  </si>
  <si>
    <t>Residential £nil Rate Band</t>
  </si>
  <si>
    <t>Residential £nil rate band</t>
  </si>
  <si>
    <t>Value of property left to direct descendants</t>
  </si>
  <si>
    <t>Unused % of residential £nil rate band on first death</t>
  </si>
  <si>
    <t>Restiction of claim as estate over £2,000,000</t>
  </si>
  <si>
    <t>Quick Succession Relief</t>
  </si>
  <si>
    <t>Quick succession relief: when the relief applies</t>
  </si>
  <si>
    <t>For tax on the deceased’s death estate to be reduced by quick succession relief (QSR) (IHTM22041) there must be</t>
  </si>
  <si>
    <t>·         an earlier chargeable transfer (IHTM04027)</t>
  </si>
  <si>
    <r>
      <t>·</t>
    </r>
    <r>
      <rPr>
        <sz val="7"/>
        <color indexed="8"/>
        <rFont val="Times New Roman"/>
        <family val="1"/>
      </rPr>
      <t xml:space="preserve">         </t>
    </r>
    <r>
      <rPr>
        <sz val="14.5"/>
        <color indexed="8"/>
        <rFont val="Times New Roman"/>
        <family val="1"/>
      </rPr>
      <t>within five years of the death</t>
    </r>
  </si>
  <si>
    <r>
      <t>·</t>
    </r>
    <r>
      <rPr>
        <sz val="7"/>
        <color indexed="8"/>
        <rFont val="Times New Roman"/>
        <family val="1"/>
      </rPr>
      <t xml:space="preserve">         </t>
    </r>
    <r>
      <rPr>
        <sz val="14.5"/>
        <color indexed="8"/>
        <rFont val="Times New Roman"/>
        <family val="1"/>
      </rPr>
      <t>on which tax was (or becomes) payable, and</t>
    </r>
  </si>
  <si>
    <r>
      <t>·</t>
    </r>
    <r>
      <rPr>
        <sz val="7"/>
        <color indexed="8"/>
        <rFont val="Times New Roman"/>
        <family val="1"/>
      </rPr>
      <t xml:space="preserve">         </t>
    </r>
    <r>
      <rPr>
        <b/>
        <sz val="14.5"/>
        <color indexed="8"/>
        <rFont val="Times New Roman"/>
        <family val="1"/>
      </rPr>
      <t>the chargeable transfer must have increased the deceased’s estate.</t>
    </r>
  </si>
  <si>
    <t>The earlier chargeable transfer can be</t>
  </si>
  <si>
    <r>
      <t>·</t>
    </r>
    <r>
      <rPr>
        <sz val="7"/>
        <color indexed="8"/>
        <rFont val="Times New Roman"/>
        <family val="1"/>
      </rPr>
      <t xml:space="preserve">         </t>
    </r>
    <r>
      <rPr>
        <sz val="14.5"/>
        <color indexed="8"/>
        <rFont val="Times New Roman"/>
        <family val="1"/>
      </rPr>
      <t>on death</t>
    </r>
  </si>
  <si>
    <t>·         a lifetime transfer chargeable when made (IHTM04067)</t>
  </si>
  <si>
    <r>
      <t>·</t>
    </r>
    <r>
      <rPr>
        <sz val="7"/>
        <color indexed="8"/>
        <rFont val="Times New Roman"/>
        <family val="1"/>
      </rPr>
      <t xml:space="preserve">         </t>
    </r>
    <r>
      <rPr>
        <sz val="14.5"/>
        <color indexed="8"/>
        <rFont val="Times New Roman"/>
        <family val="1"/>
      </rPr>
      <t>a failed potentially exempt transfer (IHTM0457), or</t>
    </r>
  </si>
  <si>
    <r>
      <t>·</t>
    </r>
    <r>
      <rPr>
        <sz val="7"/>
        <color indexed="8"/>
        <rFont val="Times New Roman"/>
        <family val="1"/>
      </rPr>
      <t xml:space="preserve">         </t>
    </r>
    <r>
      <rPr>
        <sz val="14.5"/>
        <color indexed="8"/>
        <rFont val="Times New Roman"/>
        <family val="1"/>
      </rPr>
      <t>of settled property (</t>
    </r>
    <r>
      <rPr>
        <sz val="14.5"/>
        <color indexed="30"/>
        <rFont val="Times New Roman"/>
        <family val="1"/>
      </rPr>
      <t>IHTM16000</t>
    </r>
    <r>
      <rPr>
        <sz val="14.5"/>
        <color indexed="8"/>
        <rFont val="Times New Roman"/>
        <family val="1"/>
      </rPr>
      <t>) whether held on interest in possession (</t>
    </r>
    <r>
      <rPr>
        <sz val="14.5"/>
        <color indexed="30"/>
        <rFont val="Times New Roman"/>
        <family val="1"/>
      </rPr>
      <t>IHTM16061</t>
    </r>
    <r>
      <rPr>
        <sz val="14.5"/>
        <color indexed="8"/>
        <rFont val="Times New Roman"/>
        <family val="1"/>
      </rPr>
      <t>) or discretionary trusts.</t>
    </r>
  </si>
  <si>
    <t>Quick succession relief: when the relief does not apply</t>
  </si>
  <si>
    <t>There can be no quick succession relief (QSR) (IHTM22041) where the earlier transfer to the deceased was:</t>
  </si>
  <si>
    <r>
      <t>·</t>
    </r>
    <r>
      <rPr>
        <sz val="7"/>
        <color indexed="8"/>
        <rFont val="Times New Roman"/>
        <family val="1"/>
      </rPr>
      <t xml:space="preserve">         </t>
    </r>
    <r>
      <rPr>
        <sz val="14.5"/>
        <color indexed="8"/>
        <rFont val="Times New Roman"/>
        <family val="1"/>
      </rPr>
      <t>exempt</t>
    </r>
  </si>
  <si>
    <r>
      <t>·</t>
    </r>
    <r>
      <rPr>
        <sz val="7"/>
        <color indexed="8"/>
        <rFont val="Times New Roman"/>
        <family val="1"/>
      </rPr>
      <t xml:space="preserve">         </t>
    </r>
    <r>
      <rPr>
        <sz val="14.5"/>
        <color indexed="8"/>
        <rFont val="Times New Roman"/>
        <family val="1"/>
      </rPr>
      <t>chargeable but no tax was payable because it was below the threshold, or</t>
    </r>
  </si>
  <si>
    <r>
      <t>·</t>
    </r>
    <r>
      <rPr>
        <sz val="7"/>
        <color indexed="8"/>
        <rFont val="Times New Roman"/>
        <family val="1"/>
      </rPr>
      <t xml:space="preserve">         </t>
    </r>
    <r>
      <rPr>
        <sz val="14.5"/>
        <color indexed="8"/>
        <rFont val="Times New Roman"/>
        <family val="1"/>
      </rPr>
      <t>more than five years before the death.</t>
    </r>
  </si>
  <si>
    <r>
      <t>·</t>
    </r>
    <r>
      <rPr>
        <sz val="7"/>
        <color indexed="8"/>
        <rFont val="Times New Roman"/>
        <family val="1"/>
      </rPr>
      <t xml:space="preserve">         </t>
    </r>
    <r>
      <rPr>
        <sz val="14.5"/>
        <color indexed="8"/>
        <rFont val="Times New Roman"/>
        <family val="1"/>
      </rPr>
      <t>no tax is payable on the deceased’s death estate because it is</t>
    </r>
  </si>
  <si>
    <r>
      <t>·</t>
    </r>
    <r>
      <rPr>
        <sz val="7"/>
        <color indexed="8"/>
        <rFont val="Times New Roman"/>
        <family val="1"/>
      </rPr>
      <t xml:space="preserve">         </t>
    </r>
    <r>
      <rPr>
        <sz val="14.5"/>
        <color indexed="8"/>
        <rFont val="Times New Roman"/>
        <family val="1"/>
      </rPr>
      <t>wholly exempt, or</t>
    </r>
  </si>
  <si>
    <t>·         chargeable but the aggregate of the chargeable transfers (IHTM04027) (including the transfer on death) is below the threshold.</t>
  </si>
  <si>
    <t>QSR Relief</t>
  </si>
  <si>
    <t>Years between transfer and death</t>
  </si>
  <si>
    <t>Relief</t>
  </si>
  <si>
    <t>Up to one year</t>
  </si>
  <si>
    <t>Between 1 and 2 years</t>
  </si>
  <si>
    <t>Between 2 and 3 years</t>
  </si>
  <si>
    <t>Between 3 and 4 years</t>
  </si>
  <si>
    <t>Between 4 and 5 years</t>
  </si>
  <si>
    <t>Required information for claim as follows</t>
  </si>
  <si>
    <t>Date of death of first deceased</t>
  </si>
  <si>
    <t>Date of death of second deceased</t>
  </si>
  <si>
    <t>Value of chargeable transfer</t>
  </si>
  <si>
    <t>Tax paid/payable on chargeable transfer</t>
  </si>
  <si>
    <t>Claim calculated as follows</t>
  </si>
  <si>
    <t>Value of chargeable transfer less tax payable</t>
  </si>
  <si>
    <t>C</t>
  </si>
  <si>
    <t>Formula =A/B*C</t>
  </si>
  <si>
    <t>Relief claimed between 1 to 5 years</t>
  </si>
  <si>
    <t>% Relief</t>
  </si>
  <si>
    <t>Ouick Succession Relief Claim</t>
  </si>
  <si>
    <t>You are advised not to insert or delete rows or columns in this model. You do so at your own risk. Throughout the model data is entered in yellow boxes, other boxes are protected. Whilst this model is quite comprehensive, it does not cover all the nuances of the IHT legislation and not all scenarios are covered .There are various error trapping messages that will appear as red text at the foot of certain screens. Watch out for these.</t>
  </si>
  <si>
    <t xml:space="preserve">Quick Succession Relief </t>
  </si>
  <si>
    <t>Has been added to the model from Version 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</si>
</sst>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
    <numFmt numFmtId="165" formatCode="0.0%"/>
    <numFmt numFmtId="166" formatCode="&quot;£&quot;#,##0.00"/>
    <numFmt numFmtId="167" formatCode="0.0000%"/>
    <numFmt numFmtId="168" formatCode="&quot;£&quot;#,##0.0000"/>
  </numFmts>
  <fonts count="92">
    <font>
      <sz val="10"/>
      <name val="ZapfHumnst BT"/>
      <family val="0"/>
    </font>
    <font>
      <sz val="11"/>
      <color indexed="8"/>
      <name val="Calibri"/>
      <family val="2"/>
    </font>
    <font>
      <b/>
      <sz val="10"/>
      <name val="ZapfHumnst BT"/>
      <family val="2"/>
    </font>
    <font>
      <b/>
      <sz val="12"/>
      <name val="ZapfHumnst BT"/>
      <family val="2"/>
    </font>
    <font>
      <b/>
      <sz val="14"/>
      <name val="ZapfHumnst BT"/>
      <family val="0"/>
    </font>
    <font>
      <sz val="9"/>
      <name val="ZapfHumnst BT"/>
      <family val="0"/>
    </font>
    <font>
      <sz val="8"/>
      <name val="Tahoma"/>
      <family val="2"/>
    </font>
    <font>
      <sz val="10"/>
      <name val="Arial"/>
      <family val="2"/>
    </font>
    <font>
      <b/>
      <sz val="10"/>
      <name val="Arial"/>
      <family val="2"/>
    </font>
    <font>
      <sz val="10"/>
      <name val="Tahoma"/>
      <family val="2"/>
    </font>
    <font>
      <b/>
      <sz val="10"/>
      <color indexed="18"/>
      <name val="Tahoma"/>
      <family val="2"/>
    </font>
    <font>
      <b/>
      <sz val="12"/>
      <color indexed="18"/>
      <name val="Tahoma"/>
      <family val="2"/>
    </font>
    <font>
      <sz val="10"/>
      <color indexed="18"/>
      <name val="Arial"/>
      <family val="2"/>
    </font>
    <font>
      <b/>
      <sz val="10"/>
      <color indexed="10"/>
      <name val="Tahoma"/>
      <family val="2"/>
    </font>
    <font>
      <sz val="9"/>
      <color indexed="63"/>
      <name val="Tahoma"/>
      <family val="2"/>
    </font>
    <font>
      <sz val="10"/>
      <color indexed="63"/>
      <name val="Tahoma"/>
      <family val="2"/>
    </font>
    <font>
      <sz val="10"/>
      <color indexed="10"/>
      <name val="ZapfHumnst BT"/>
      <family val="2"/>
    </font>
    <font>
      <i/>
      <sz val="8"/>
      <name val="ZapfHumnst BT"/>
      <family val="0"/>
    </font>
    <font>
      <b/>
      <sz val="10"/>
      <color indexed="10"/>
      <name val="ZapfHumnst BT"/>
      <family val="0"/>
    </font>
    <font>
      <i/>
      <sz val="10"/>
      <name val="ZapfHumnst BT"/>
      <family val="0"/>
    </font>
    <font>
      <b/>
      <i/>
      <sz val="10"/>
      <color indexed="10"/>
      <name val="ZapfHumnst BT"/>
      <family val="0"/>
    </font>
    <font>
      <b/>
      <i/>
      <sz val="8"/>
      <name val="ZapfHumnst BT"/>
      <family val="0"/>
    </font>
    <font>
      <b/>
      <sz val="8"/>
      <name val="Tahoma"/>
      <family val="2"/>
    </font>
    <font>
      <sz val="10"/>
      <color indexed="57"/>
      <name val="Arial"/>
      <family val="2"/>
    </font>
    <font>
      <sz val="8"/>
      <name val="Arial"/>
      <family val="2"/>
    </font>
    <font>
      <sz val="10"/>
      <color indexed="9"/>
      <name val="ZapfHumnst BT"/>
      <family val="0"/>
    </font>
    <font>
      <b/>
      <sz val="8"/>
      <name val="Arial"/>
      <family val="2"/>
    </font>
    <font>
      <sz val="9"/>
      <name val="Tahoma"/>
      <family val="2"/>
    </font>
    <font>
      <b/>
      <sz val="9"/>
      <name val="Tahoma"/>
      <family val="2"/>
    </font>
    <font>
      <sz val="7"/>
      <color indexed="8"/>
      <name val="Times New Roman"/>
      <family val="1"/>
    </font>
    <font>
      <sz val="14.5"/>
      <color indexed="8"/>
      <name val="Times New Roman"/>
      <family val="1"/>
    </font>
    <font>
      <b/>
      <sz val="14.5"/>
      <color indexed="8"/>
      <name val="Times New Roman"/>
      <family val="1"/>
    </font>
    <font>
      <sz val="14.5"/>
      <color indexed="30"/>
      <name val="Times New Roman"/>
      <family val="1"/>
    </font>
    <font>
      <sz val="10"/>
      <color indexed="8"/>
      <name val="ZapfHumnst BT"/>
      <family val="0"/>
    </font>
    <font>
      <b/>
      <sz val="10"/>
      <color indexed="18"/>
      <name val="Arial"/>
      <family val="2"/>
    </font>
    <font>
      <u val="single"/>
      <sz val="10"/>
      <color indexed="12"/>
      <name val="ZapfHumnst BT"/>
      <family val="0"/>
    </font>
    <font>
      <b/>
      <sz val="18"/>
      <color indexed="8"/>
      <name val="Times New Roman"/>
      <family val="1"/>
    </font>
    <font>
      <sz val="10"/>
      <color indexed="8"/>
      <name val="Symbol"/>
      <family val="1"/>
    </font>
    <font>
      <b/>
      <sz val="14"/>
      <color indexed="63"/>
      <name val="Times New Roman"/>
      <family val="1"/>
    </font>
    <font>
      <sz val="12"/>
      <color indexed="63"/>
      <name val="Times New Roman"/>
      <family val="1"/>
    </font>
    <font>
      <sz val="11"/>
      <color indexed="63"/>
      <name val="Times New Roman"/>
      <family val="1"/>
    </font>
    <font>
      <b/>
      <sz val="14"/>
      <color indexed="8"/>
      <name val="Times New Roman"/>
      <family val="1"/>
    </font>
    <font>
      <sz val="11"/>
      <color indexed="8"/>
      <name val="Times New Roman"/>
      <family val="1"/>
    </font>
    <font>
      <u val="single"/>
      <sz val="10"/>
      <color indexed="20"/>
      <name val="ZapfHumnst BT"/>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b/>
      <sz val="12"/>
      <color indexed="9"/>
      <name val="Tahoma"/>
      <family val="0"/>
    </font>
    <font>
      <b/>
      <sz val="18"/>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ZapfHumnst BT"/>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ZapfHumnst BT"/>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FF0000"/>
      <name val="ZapfHumnst BT"/>
      <family val="0"/>
    </font>
    <font>
      <b/>
      <sz val="18"/>
      <color rgb="FF0B0C0C"/>
      <name val="Times New Roman"/>
      <family val="1"/>
    </font>
    <font>
      <sz val="10"/>
      <color rgb="FF0B0C0C"/>
      <name val="Symbol"/>
      <family val="1"/>
    </font>
    <font>
      <sz val="14.5"/>
      <color rgb="FF0B0C0C"/>
      <name val="Times New Roman"/>
      <family val="1"/>
    </font>
    <font>
      <b/>
      <sz val="14"/>
      <color rgb="FF222222"/>
      <name val="Times New Roman"/>
      <family val="1"/>
    </font>
    <font>
      <sz val="12"/>
      <color rgb="FF222222"/>
      <name val="Times New Roman"/>
      <family val="1"/>
    </font>
    <font>
      <sz val="11"/>
      <color rgb="FF222222"/>
      <name val="Times New Roman"/>
      <family val="1"/>
    </font>
    <font>
      <b/>
      <sz val="14"/>
      <color rgb="FF0B0C0C"/>
      <name val="Times New Roman"/>
      <family val="1"/>
    </font>
    <font>
      <sz val="11"/>
      <color theme="1"/>
      <name val="Times New Roman"/>
      <family val="1"/>
    </font>
    <font>
      <b/>
      <sz val="8"/>
      <name val="ZapfHumnst BT"/>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63"/>
        <bgColor indexed="64"/>
      </patternFill>
    </fill>
    <fill>
      <patternFill patternType="solid">
        <fgColor indexed="45"/>
        <bgColor indexed="64"/>
      </patternFill>
    </fill>
    <fill>
      <patternFill patternType="solid">
        <fgColor indexed="43"/>
        <bgColor indexed="64"/>
      </patternFill>
    </fill>
    <fill>
      <patternFill patternType="solid">
        <fgColor indexed="11"/>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style="thin"/>
      <bottom style="double"/>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medium"/>
      <right/>
      <top style="medium"/>
      <bottom style="medium"/>
    </border>
    <border>
      <left/>
      <right style="medium"/>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top/>
      <bottom/>
    </border>
    <border>
      <left/>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7" fillId="0" borderId="0">
      <alignment/>
      <protection/>
    </xf>
    <xf numFmtId="0" fontId="7"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19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14" fontId="0" fillId="0" borderId="0" xfId="0" applyNumberFormat="1" applyAlignment="1">
      <alignment/>
    </xf>
    <xf numFmtId="1" fontId="0" fillId="0" borderId="0" xfId="0" applyNumberFormat="1" applyAlignment="1">
      <alignment horizontal="center"/>
    </xf>
    <xf numFmtId="0" fontId="0" fillId="0" borderId="0" xfId="0" applyFill="1" applyAlignment="1">
      <alignment/>
    </xf>
    <xf numFmtId="166" fontId="0" fillId="0" borderId="0" xfId="0" applyNumberFormat="1" applyAlignment="1">
      <alignment/>
    </xf>
    <xf numFmtId="166" fontId="0" fillId="0" borderId="0" xfId="0" applyNumberFormat="1" applyBorder="1" applyAlignment="1">
      <alignment/>
    </xf>
    <xf numFmtId="164" fontId="0" fillId="0" borderId="0" xfId="0" applyNumberFormat="1" applyAlignment="1">
      <alignment/>
    </xf>
    <xf numFmtId="15" fontId="0" fillId="0" borderId="0" xfId="0" applyNumberFormat="1" applyAlignment="1">
      <alignment/>
    </xf>
    <xf numFmtId="1" fontId="0" fillId="0" borderId="0" xfId="0" applyNumberFormat="1" applyAlignment="1">
      <alignment/>
    </xf>
    <xf numFmtId="166" fontId="0" fillId="33" borderId="10" xfId="0" applyNumberFormat="1" applyFill="1" applyBorder="1" applyAlignment="1" applyProtection="1">
      <alignment/>
      <protection locked="0"/>
    </xf>
    <xf numFmtId="9" fontId="0" fillId="33" borderId="10" xfId="0" applyNumberFormat="1" applyFill="1" applyBorder="1" applyAlignment="1" applyProtection="1">
      <alignment horizontal="center"/>
      <protection locked="0"/>
    </xf>
    <xf numFmtId="15" fontId="0" fillId="33" borderId="10" xfId="0" applyNumberFormat="1" applyFill="1" applyBorder="1" applyAlignment="1" applyProtection="1">
      <alignment horizontal="center"/>
      <protection locked="0"/>
    </xf>
    <xf numFmtId="0" fontId="0" fillId="33" borderId="10" xfId="0" applyFill="1" applyBorder="1" applyAlignment="1" applyProtection="1">
      <alignment/>
      <protection locked="0"/>
    </xf>
    <xf numFmtId="1" fontId="0" fillId="0" borderId="11" xfId="0" applyNumberFormat="1" applyBorder="1" applyAlignment="1">
      <alignment/>
    </xf>
    <xf numFmtId="1" fontId="0" fillId="0" borderId="0" xfId="0" applyNumberFormat="1" applyBorder="1" applyAlignment="1">
      <alignment/>
    </xf>
    <xf numFmtId="1" fontId="0" fillId="0" borderId="11" xfId="0" applyNumberFormat="1" applyBorder="1" applyAlignment="1">
      <alignment horizontal="center"/>
    </xf>
    <xf numFmtId="0" fontId="2" fillId="0" borderId="0" xfId="0" applyFont="1" applyAlignment="1">
      <alignment/>
    </xf>
    <xf numFmtId="15" fontId="0" fillId="0" borderId="10" xfId="0" applyNumberFormat="1" applyFill="1" applyBorder="1" applyAlignment="1" applyProtection="1">
      <alignment horizontal="center"/>
      <protection hidden="1"/>
    </xf>
    <xf numFmtId="0" fontId="0" fillId="0" borderId="0" xfId="0" applyAlignment="1" applyProtection="1">
      <alignment/>
      <protection hidden="1"/>
    </xf>
    <xf numFmtId="15" fontId="0" fillId="0" borderId="10" xfId="0" applyNumberFormat="1" applyFill="1" applyBorder="1" applyAlignment="1" applyProtection="1">
      <alignment/>
      <protection hidden="1"/>
    </xf>
    <xf numFmtId="0" fontId="0" fillId="0" borderId="0" xfId="0" applyFill="1" applyAlignment="1" applyProtection="1">
      <alignment/>
      <protection hidden="1"/>
    </xf>
    <xf numFmtId="166" fontId="0" fillId="0" borderId="10" xfId="0" applyNumberFormat="1" applyFill="1" applyBorder="1" applyAlignment="1" applyProtection="1">
      <alignment/>
      <protection hidden="1"/>
    </xf>
    <xf numFmtId="9" fontId="0" fillId="0" borderId="10" xfId="0" applyNumberFormat="1" applyFill="1" applyBorder="1" applyAlignment="1" applyProtection="1">
      <alignment horizontal="center"/>
      <protection hidden="1"/>
    </xf>
    <xf numFmtId="14" fontId="0" fillId="0" borderId="0" xfId="0" applyNumberFormat="1" applyFill="1" applyAlignment="1" applyProtection="1">
      <alignment/>
      <protection hidden="1"/>
    </xf>
    <xf numFmtId="166" fontId="0" fillId="0" borderId="10" xfId="0" applyNumberFormat="1" applyBorder="1" applyAlignment="1" applyProtection="1">
      <alignment/>
      <protection hidden="1"/>
    </xf>
    <xf numFmtId="166" fontId="0" fillId="0" borderId="0" xfId="0" applyNumberFormat="1" applyBorder="1" applyAlignment="1" applyProtection="1">
      <alignment/>
      <protection hidden="1"/>
    </xf>
    <xf numFmtId="0" fontId="2" fillId="0" borderId="0" xfId="0" applyFont="1" applyAlignment="1">
      <alignment horizontal="center"/>
    </xf>
    <xf numFmtId="166" fontId="0" fillId="0" borderId="0" xfId="0" applyNumberFormat="1" applyFill="1" applyBorder="1" applyAlignment="1" applyProtection="1">
      <alignment/>
      <protection hidden="1"/>
    </xf>
    <xf numFmtId="166" fontId="0" fillId="0" borderId="10" xfId="0" applyNumberForma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8" xfId="0" applyBorder="1" applyAlignment="1">
      <alignment horizontal="center"/>
    </xf>
    <xf numFmtId="0" fontId="5" fillId="0" borderId="13" xfId="0" applyFont="1" applyBorder="1" applyAlignment="1">
      <alignment/>
    </xf>
    <xf numFmtId="0" fontId="5" fillId="0" borderId="10" xfId="0" applyFont="1" applyBorder="1" applyAlignment="1">
      <alignment/>
    </xf>
    <xf numFmtId="166" fontId="0" fillId="0" borderId="10" xfId="0" applyNumberFormat="1" applyFill="1" applyBorder="1" applyAlignment="1" applyProtection="1">
      <alignment horizontal="center"/>
      <protection hidden="1"/>
    </xf>
    <xf numFmtId="49" fontId="0" fillId="0" borderId="10" xfId="0" applyNumberFormat="1" applyFill="1" applyBorder="1" applyAlignment="1" applyProtection="1">
      <alignment horizontal="center"/>
      <protection hidden="1"/>
    </xf>
    <xf numFmtId="14" fontId="0" fillId="0" borderId="21" xfId="0" applyNumberFormat="1" applyBorder="1" applyAlignment="1">
      <alignment horizontal="center"/>
    </xf>
    <xf numFmtId="0" fontId="2" fillId="0" borderId="15" xfId="0" applyFont="1" applyBorder="1" applyAlignment="1">
      <alignment horizontal="center"/>
    </xf>
    <xf numFmtId="0" fontId="2" fillId="0" borderId="17" xfId="0" applyFont="1" applyBorder="1" applyAlignment="1">
      <alignment horizontal="center"/>
    </xf>
    <xf numFmtId="0" fontId="2" fillId="0" borderId="20" xfId="0" applyFont="1" applyBorder="1" applyAlignment="1">
      <alignment horizontal="center"/>
    </xf>
    <xf numFmtId="9" fontId="0" fillId="0" borderId="10" xfId="0" applyNumberFormat="1" applyBorder="1" applyAlignment="1">
      <alignment horizontal="center"/>
    </xf>
    <xf numFmtId="9" fontId="0" fillId="0" borderId="22" xfId="0" applyNumberFormat="1" applyBorder="1" applyAlignment="1">
      <alignment horizontal="center"/>
    </xf>
    <xf numFmtId="165" fontId="0" fillId="0" borderId="22" xfId="0" applyNumberFormat="1" applyBorder="1" applyAlignment="1">
      <alignment horizontal="center"/>
    </xf>
    <xf numFmtId="165" fontId="0" fillId="0" borderId="10" xfId="0" applyNumberFormat="1" applyBorder="1" applyAlignment="1">
      <alignment horizontal="center"/>
    </xf>
    <xf numFmtId="9" fontId="0" fillId="33" borderId="10" xfId="0" applyNumberFormat="1" applyFill="1" applyBorder="1" applyAlignment="1" applyProtection="1">
      <alignment horizontal="center"/>
      <protection/>
    </xf>
    <xf numFmtId="0" fontId="0" fillId="0" borderId="0" xfId="0" applyAlignment="1" applyProtection="1">
      <alignment/>
      <protection locked="0"/>
    </xf>
    <xf numFmtId="0" fontId="0" fillId="0" borderId="0" xfId="0" applyFont="1" applyAlignment="1">
      <alignment/>
    </xf>
    <xf numFmtId="0" fontId="7" fillId="0" borderId="0" xfId="58">
      <alignment/>
      <protection/>
    </xf>
    <xf numFmtId="0" fontId="9" fillId="34" borderId="0" xfId="58" applyFont="1" applyFill="1">
      <alignment/>
      <protection/>
    </xf>
    <xf numFmtId="0" fontId="13" fillId="34" borderId="0" xfId="58" applyFont="1" applyFill="1">
      <alignment/>
      <protection/>
    </xf>
    <xf numFmtId="0" fontId="7" fillId="0" borderId="0" xfId="58" applyFont="1">
      <alignment/>
      <protection/>
    </xf>
    <xf numFmtId="0" fontId="8" fillId="0" borderId="0" xfId="58" applyFont="1">
      <alignment/>
      <protection/>
    </xf>
    <xf numFmtId="14" fontId="7" fillId="0" borderId="0" xfId="58" applyNumberFormat="1">
      <alignment/>
      <protection/>
    </xf>
    <xf numFmtId="0" fontId="7" fillId="0" borderId="0" xfId="58" applyAlignment="1">
      <alignment horizontal="right"/>
      <protection/>
    </xf>
    <xf numFmtId="2" fontId="7" fillId="0" borderId="0" xfId="58" applyNumberFormat="1" applyAlignment="1">
      <alignment horizontal="right"/>
      <protection/>
    </xf>
    <xf numFmtId="2" fontId="7" fillId="0" borderId="0" xfId="58" applyNumberFormat="1">
      <alignment/>
      <protection/>
    </xf>
    <xf numFmtId="0" fontId="5" fillId="33" borderId="19" xfId="0" applyFont="1" applyFill="1" applyBorder="1" applyAlignment="1">
      <alignment/>
    </xf>
    <xf numFmtId="0" fontId="5" fillId="33" borderId="18"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3" fillId="35" borderId="21" xfId="0" applyFont="1" applyFill="1" applyBorder="1" applyAlignment="1">
      <alignment horizontal="center"/>
    </xf>
    <xf numFmtId="0" fontId="3" fillId="35" borderId="10" xfId="0" applyFont="1" applyFill="1" applyBorder="1" applyAlignment="1">
      <alignment horizontal="center"/>
    </xf>
    <xf numFmtId="166" fontId="2" fillId="0" borderId="10" xfId="0" applyNumberFormat="1" applyFont="1" applyFill="1" applyBorder="1" applyAlignment="1" applyProtection="1">
      <alignment/>
      <protection hidden="1"/>
    </xf>
    <xf numFmtId="0" fontId="16" fillId="0" borderId="0" xfId="0" applyFont="1" applyAlignment="1">
      <alignment horizontal="center"/>
    </xf>
    <xf numFmtId="166" fontId="0" fillId="0" borderId="10" xfId="0" applyNumberFormat="1" applyFont="1" applyFill="1" applyBorder="1" applyAlignment="1" applyProtection="1">
      <alignment/>
      <protection hidden="1"/>
    </xf>
    <xf numFmtId="168" fontId="0" fillId="0" borderId="0" xfId="0" applyNumberFormat="1" applyAlignment="1">
      <alignment/>
    </xf>
    <xf numFmtId="166" fontId="0" fillId="36" borderId="10" xfId="0" applyNumberFormat="1" applyFill="1" applyBorder="1" applyAlignment="1" applyProtection="1">
      <alignment/>
      <protection hidden="1"/>
    </xf>
    <xf numFmtId="0" fontId="0" fillId="0" borderId="0" xfId="0" applyFont="1" applyAlignment="1">
      <alignment/>
    </xf>
    <xf numFmtId="0" fontId="0" fillId="0" borderId="0" xfId="0" applyFont="1" applyAlignment="1">
      <alignment/>
    </xf>
    <xf numFmtId="167" fontId="0" fillId="0" borderId="10" xfId="61" applyNumberFormat="1" applyFont="1" applyBorder="1" applyAlignment="1">
      <alignment/>
    </xf>
    <xf numFmtId="0" fontId="16" fillId="0" borderId="0" xfId="0" applyFont="1" applyAlignment="1">
      <alignment/>
    </xf>
    <xf numFmtId="0" fontId="17" fillId="0" borderId="0" xfId="0" applyFont="1" applyAlignment="1">
      <alignment/>
    </xf>
    <xf numFmtId="0" fontId="19" fillId="0" borderId="0" xfId="0" applyFont="1" applyAlignment="1">
      <alignment/>
    </xf>
    <xf numFmtId="166" fontId="2" fillId="37" borderId="10" xfId="0" applyNumberFormat="1" applyFont="1" applyFill="1" applyBorder="1" applyAlignment="1" applyProtection="1">
      <alignment/>
      <protection hidden="1"/>
    </xf>
    <xf numFmtId="0" fontId="18" fillId="0" borderId="0" xfId="0" applyFont="1" applyAlignment="1">
      <alignment/>
    </xf>
    <xf numFmtId="0" fontId="18" fillId="0" borderId="0" xfId="0" applyFont="1" applyFill="1" applyAlignment="1">
      <alignment/>
    </xf>
    <xf numFmtId="0" fontId="0" fillId="0" borderId="0" xfId="0" applyNumberFormat="1" applyAlignment="1">
      <alignment/>
    </xf>
    <xf numFmtId="166" fontId="0" fillId="0" borderId="23" xfId="0" applyNumberFormat="1" applyBorder="1" applyAlignment="1">
      <alignment/>
    </xf>
    <xf numFmtId="14" fontId="7" fillId="0" borderId="0" xfId="58" applyNumberFormat="1" applyFont="1">
      <alignment/>
      <protection/>
    </xf>
    <xf numFmtId="0" fontId="23" fillId="0" borderId="0" xfId="58" applyFont="1">
      <alignment/>
      <protection/>
    </xf>
    <xf numFmtId="0" fontId="7" fillId="0" borderId="0" xfId="58" applyFont="1" applyProtection="1">
      <alignment/>
      <protection locked="0"/>
    </xf>
    <xf numFmtId="0" fontId="7" fillId="0" borderId="0" xfId="58" applyProtection="1">
      <alignment/>
      <protection locked="0"/>
    </xf>
    <xf numFmtId="3" fontId="0" fillId="33" borderId="10" xfId="0" applyNumberFormat="1" applyFill="1" applyBorder="1" applyAlignment="1" applyProtection="1">
      <alignment/>
      <protection locked="0"/>
    </xf>
    <xf numFmtId="3" fontId="0" fillId="0" borderId="0" xfId="0" applyNumberFormat="1" applyAlignment="1">
      <alignment/>
    </xf>
    <xf numFmtId="3" fontId="0" fillId="0" borderId="10" xfId="0" applyNumberFormat="1" applyFill="1" applyBorder="1" applyAlignment="1" applyProtection="1">
      <alignment/>
      <protection hidden="1"/>
    </xf>
    <xf numFmtId="3" fontId="0" fillId="0" borderId="0" xfId="0" applyNumberFormat="1" applyAlignment="1" applyProtection="1">
      <alignment/>
      <protection hidden="1"/>
    </xf>
    <xf numFmtId="4" fontId="0" fillId="0" borderId="10" xfId="0" applyNumberFormat="1" applyFill="1" applyBorder="1" applyAlignment="1" applyProtection="1">
      <alignment/>
      <protection hidden="1"/>
    </xf>
    <xf numFmtId="4" fontId="0" fillId="0" borderId="0" xfId="0" applyNumberFormat="1" applyAlignment="1" applyProtection="1">
      <alignment/>
      <protection hidden="1"/>
    </xf>
    <xf numFmtId="4" fontId="0" fillId="0" borderId="10" xfId="0" applyNumberFormat="1" applyBorder="1" applyAlignment="1" applyProtection="1">
      <alignment/>
      <protection hidden="1"/>
    </xf>
    <xf numFmtId="4" fontId="0" fillId="0" borderId="0" xfId="0" applyNumberFormat="1" applyAlignment="1">
      <alignment/>
    </xf>
    <xf numFmtId="3" fontId="0" fillId="0" borderId="0" xfId="0" applyNumberFormat="1" applyFill="1" applyAlignment="1" applyProtection="1">
      <alignment/>
      <protection hidden="1"/>
    </xf>
    <xf numFmtId="3" fontId="0" fillId="0" borderId="10" xfId="0" applyNumberFormat="1" applyBorder="1" applyAlignment="1" applyProtection="1">
      <alignment/>
      <protection hidden="1"/>
    </xf>
    <xf numFmtId="3" fontId="0" fillId="0" borderId="10" xfId="0" applyNumberFormat="1" applyBorder="1" applyAlignment="1">
      <alignment/>
    </xf>
    <xf numFmtId="4" fontId="0" fillId="0" borderId="0" xfId="0" applyNumberFormat="1" applyFill="1" applyAlignment="1" applyProtection="1">
      <alignment/>
      <protection hidden="1"/>
    </xf>
    <xf numFmtId="4" fontId="0" fillId="33" borderId="10" xfId="0" applyNumberFormat="1" applyFill="1" applyBorder="1" applyAlignment="1" applyProtection="1">
      <alignment/>
      <protection locked="0"/>
    </xf>
    <xf numFmtId="4" fontId="2" fillId="0" borderId="0" xfId="0" applyNumberFormat="1" applyFont="1" applyAlignment="1">
      <alignment horizontal="center"/>
    </xf>
    <xf numFmtId="4" fontId="16" fillId="0" borderId="0" xfId="0" applyNumberFormat="1" applyFont="1" applyAlignment="1">
      <alignment horizontal="center"/>
    </xf>
    <xf numFmtId="4" fontId="2" fillId="0" borderId="0" xfId="0" applyNumberFormat="1" applyFont="1" applyAlignment="1">
      <alignment/>
    </xf>
    <xf numFmtId="4" fontId="0" fillId="0" borderId="0" xfId="0" applyNumberFormat="1" applyBorder="1" applyAlignment="1">
      <alignment/>
    </xf>
    <xf numFmtId="4" fontId="0" fillId="0" borderId="0" xfId="0" applyNumberFormat="1" applyBorder="1" applyAlignment="1" applyProtection="1">
      <alignment/>
      <protection hidden="1"/>
    </xf>
    <xf numFmtId="4" fontId="0" fillId="0" borderId="16" xfId="0" applyNumberFormat="1" applyBorder="1" applyAlignment="1">
      <alignment/>
    </xf>
    <xf numFmtId="4" fontId="0" fillId="0" borderId="16" xfId="0" applyNumberFormat="1" applyBorder="1" applyAlignment="1" applyProtection="1">
      <alignment/>
      <protection hidden="1"/>
    </xf>
    <xf numFmtId="4" fontId="0" fillId="0" borderId="10" xfId="0" applyNumberFormat="1" applyFill="1" applyBorder="1" applyAlignment="1">
      <alignment/>
    </xf>
    <xf numFmtId="4" fontId="2" fillId="0" borderId="0" xfId="0" applyNumberFormat="1" applyFont="1" applyAlignment="1">
      <alignment horizontal="center"/>
    </xf>
    <xf numFmtId="4" fontId="0" fillId="0" borderId="0" xfId="0" applyNumberFormat="1" applyAlignment="1">
      <alignment horizontal="right"/>
    </xf>
    <xf numFmtId="4" fontId="0" fillId="0" borderId="10" xfId="0" applyNumberFormat="1" applyFill="1" applyBorder="1" applyAlignment="1" applyProtection="1">
      <alignment/>
      <protection/>
    </xf>
    <xf numFmtId="4" fontId="2" fillId="0" borderId="0" xfId="0" applyNumberFormat="1" applyFont="1" applyAlignment="1">
      <alignment/>
    </xf>
    <xf numFmtId="4" fontId="0" fillId="0" borderId="0" xfId="0" applyNumberFormat="1" applyAlignment="1" applyProtection="1">
      <alignment/>
      <protection locked="0"/>
    </xf>
    <xf numFmtId="0" fontId="3" fillId="0" borderId="0" xfId="0" applyFont="1" applyAlignment="1" applyProtection="1">
      <alignment/>
      <protection locked="0"/>
    </xf>
    <xf numFmtId="4" fontId="18" fillId="0" borderId="0" xfId="0" applyNumberFormat="1" applyFont="1" applyAlignment="1">
      <alignment horizontal="center"/>
    </xf>
    <xf numFmtId="0" fontId="24" fillId="0" borderId="0" xfId="58" applyFont="1">
      <alignment/>
      <protection/>
    </xf>
    <xf numFmtId="4" fontId="0" fillId="38" borderId="0" xfId="0" applyNumberFormat="1" applyFill="1" applyAlignment="1" applyProtection="1">
      <alignment/>
      <protection locked="0"/>
    </xf>
    <xf numFmtId="2" fontId="7" fillId="0" borderId="0" xfId="58" applyNumberFormat="1" applyFont="1">
      <alignment/>
      <protection/>
    </xf>
    <xf numFmtId="0" fontId="16" fillId="0" borderId="0" xfId="0" applyFont="1" applyAlignment="1">
      <alignment/>
    </xf>
    <xf numFmtId="3" fontId="25" fillId="0" borderId="0" xfId="0" applyNumberFormat="1" applyFont="1" applyAlignment="1">
      <alignment/>
    </xf>
    <xf numFmtId="2" fontId="0" fillId="0" borderId="0" xfId="0" applyNumberFormat="1" applyAlignment="1">
      <alignment/>
    </xf>
    <xf numFmtId="0" fontId="0" fillId="0" borderId="0" xfId="0" applyBorder="1" applyAlignment="1">
      <alignment horizontal="center"/>
    </xf>
    <xf numFmtId="166" fontId="0" fillId="0" borderId="0" xfId="0" applyNumberFormat="1" applyFill="1" applyBorder="1" applyAlignment="1" applyProtection="1">
      <alignment horizontal="center"/>
      <protection hidden="1"/>
    </xf>
    <xf numFmtId="4" fontId="0" fillId="39" borderId="10" xfId="0" applyNumberFormat="1" applyFill="1" applyBorder="1" applyAlignment="1" applyProtection="1">
      <alignment/>
      <protection hidden="1"/>
    </xf>
    <xf numFmtId="0" fontId="7" fillId="0" borderId="0" xfId="57">
      <alignment/>
      <protection/>
    </xf>
    <xf numFmtId="1" fontId="7" fillId="0" borderId="0" xfId="57" applyNumberFormat="1">
      <alignment/>
      <protection/>
    </xf>
    <xf numFmtId="15" fontId="7" fillId="0" borderId="0" xfId="57" applyNumberFormat="1">
      <alignment/>
      <protection/>
    </xf>
    <xf numFmtId="3" fontId="7" fillId="0" borderId="0" xfId="57" applyNumberFormat="1">
      <alignment/>
      <protection/>
    </xf>
    <xf numFmtId="0" fontId="26" fillId="0" borderId="0" xfId="57" applyFont="1" applyAlignment="1">
      <alignment horizontal="center"/>
      <protection/>
    </xf>
    <xf numFmtId="1" fontId="26" fillId="0" borderId="0" xfId="57" applyNumberFormat="1" applyFont="1" applyAlignment="1">
      <alignment horizontal="center"/>
      <protection/>
    </xf>
    <xf numFmtId="9" fontId="0" fillId="0" borderId="0" xfId="61" applyFont="1" applyAlignment="1">
      <alignment/>
    </xf>
    <xf numFmtId="3" fontId="0" fillId="0" borderId="10" xfId="0" applyNumberFormat="1" applyFill="1" applyBorder="1" applyAlignment="1" applyProtection="1">
      <alignment horizontal="center"/>
      <protection hidden="1"/>
    </xf>
    <xf numFmtId="9" fontId="7" fillId="0" borderId="0" xfId="57" applyNumberFormat="1">
      <alignment/>
      <protection/>
    </xf>
    <xf numFmtId="9" fontId="0" fillId="33" borderId="10" xfId="0" applyNumberFormat="1" applyFill="1" applyBorder="1" applyAlignment="1" applyProtection="1">
      <alignment horizontal="center"/>
      <protection hidden="1" locked="0"/>
    </xf>
    <xf numFmtId="10" fontId="7" fillId="0" borderId="0" xfId="57" applyNumberFormat="1">
      <alignment/>
      <protection/>
    </xf>
    <xf numFmtId="0" fontId="82" fillId="0" borderId="0" xfId="0" applyFont="1" applyAlignment="1">
      <alignment/>
    </xf>
    <xf numFmtId="9" fontId="0" fillId="0" borderId="0" xfId="0" applyNumberFormat="1" applyFill="1" applyBorder="1" applyAlignment="1" applyProtection="1">
      <alignment horizontal="center"/>
      <protection hidden="1" locked="0"/>
    </xf>
    <xf numFmtId="0" fontId="0" fillId="0" borderId="0" xfId="0" applyFont="1" applyAlignment="1">
      <alignment/>
    </xf>
    <xf numFmtId="3" fontId="0" fillId="33" borderId="10" xfId="42" applyNumberFormat="1" applyFont="1" applyFill="1" applyBorder="1" applyAlignment="1" applyProtection="1">
      <alignment horizontal="center"/>
      <protection hidden="1" locked="0"/>
    </xf>
    <xf numFmtId="0" fontId="83" fillId="0" borderId="0" xfId="0" applyFont="1" applyAlignment="1">
      <alignment vertical="center"/>
    </xf>
    <xf numFmtId="0" fontId="74" fillId="0" borderId="0" xfId="53" applyAlignment="1">
      <alignment vertical="center"/>
    </xf>
    <xf numFmtId="0" fontId="74" fillId="0" borderId="0" xfId="53" applyAlignment="1">
      <alignment horizontal="left" vertical="center" indent="2"/>
    </xf>
    <xf numFmtId="0" fontId="84" fillId="0" borderId="0" xfId="0" applyFont="1" applyAlignment="1">
      <alignment horizontal="left" vertical="center" indent="2"/>
    </xf>
    <xf numFmtId="0" fontId="85" fillId="0" borderId="0" xfId="0" applyFont="1" applyAlignment="1">
      <alignment vertical="center"/>
    </xf>
    <xf numFmtId="0" fontId="0" fillId="0" borderId="0" xfId="0" applyAlignment="1">
      <alignment vertical="center"/>
    </xf>
    <xf numFmtId="0" fontId="86" fillId="0" borderId="0" xfId="0" applyFont="1" applyAlignment="1">
      <alignment horizontal="left" vertical="center" wrapText="1"/>
    </xf>
    <xf numFmtId="0" fontId="87" fillId="0" borderId="0" xfId="0" applyFont="1" applyAlignment="1">
      <alignment horizontal="left" vertical="center" wrapText="1"/>
    </xf>
    <xf numFmtId="9" fontId="88" fillId="0" borderId="0" xfId="61" applyFont="1" applyAlignment="1">
      <alignment vertical="center" wrapText="1"/>
    </xf>
    <xf numFmtId="0" fontId="89" fillId="0" borderId="0" xfId="0" applyFont="1" applyAlignment="1">
      <alignment vertical="center"/>
    </xf>
    <xf numFmtId="14" fontId="90" fillId="40" borderId="0" xfId="0" applyNumberFormat="1" applyFont="1" applyFill="1" applyAlignment="1">
      <alignment/>
    </xf>
    <xf numFmtId="0" fontId="0" fillId="40" borderId="0" xfId="0" applyFill="1" applyAlignment="1">
      <alignment/>
    </xf>
    <xf numFmtId="0" fontId="0" fillId="0" borderId="0" xfId="0" applyAlignment="1">
      <alignment horizontal="center"/>
    </xf>
    <xf numFmtId="9" fontId="0" fillId="0" borderId="10" xfId="61" applyFont="1" applyBorder="1" applyAlignment="1">
      <alignment horizontal="center"/>
    </xf>
    <xf numFmtId="9" fontId="0" fillId="0" borderId="0" xfId="0" applyNumberFormat="1" applyAlignment="1">
      <alignment/>
    </xf>
    <xf numFmtId="0" fontId="0" fillId="0" borderId="11" xfId="0" applyBorder="1" applyAlignment="1">
      <alignment/>
    </xf>
    <xf numFmtId="4" fontId="0" fillId="0" borderId="0" xfId="0" applyNumberFormat="1" applyBorder="1" applyAlignment="1">
      <alignment vertical="top"/>
    </xf>
    <xf numFmtId="0" fontId="11" fillId="34" borderId="0" xfId="58" applyFont="1" applyFill="1" applyAlignment="1">
      <alignment wrapText="1"/>
      <protection/>
    </xf>
    <xf numFmtId="0" fontId="12" fillId="34" borderId="0" xfId="58" applyFont="1" applyFill="1" applyAlignment="1">
      <alignment/>
      <protection/>
    </xf>
    <xf numFmtId="0" fontId="14" fillId="34" borderId="0" xfId="58" applyFont="1" applyFill="1" applyAlignment="1">
      <alignment horizontal="justify" wrapText="1"/>
      <protection/>
    </xf>
    <xf numFmtId="0" fontId="15" fillId="34" borderId="0" xfId="58" applyFont="1" applyFill="1" applyAlignment="1">
      <alignment horizontal="justify" wrapText="1"/>
      <protection/>
    </xf>
    <xf numFmtId="14" fontId="7" fillId="0" borderId="0" xfId="58" applyNumberFormat="1" applyAlignment="1">
      <alignment wrapText="1"/>
      <protection/>
    </xf>
    <xf numFmtId="0" fontId="7" fillId="0" borderId="0" xfId="58" applyAlignment="1">
      <alignment wrapText="1"/>
      <protection/>
    </xf>
    <xf numFmtId="0" fontId="2" fillId="0" borderId="0" xfId="0" applyFont="1" applyAlignment="1">
      <alignment horizontal="center"/>
    </xf>
    <xf numFmtId="0" fontId="3" fillId="0" borderId="24" xfId="0" applyFont="1" applyBorder="1" applyAlignment="1">
      <alignment horizontal="center"/>
    </xf>
    <xf numFmtId="0" fontId="0" fillId="0" borderId="25" xfId="0" applyBorder="1" applyAlignment="1">
      <alignment/>
    </xf>
    <xf numFmtId="0" fontId="0" fillId="0" borderId="26" xfId="0" applyBorder="1" applyAlignment="1">
      <alignment/>
    </xf>
    <xf numFmtId="15" fontId="2" fillId="0" borderId="0" xfId="0" applyNumberFormat="1" applyFont="1" applyAlignment="1">
      <alignment horizontal="center"/>
    </xf>
    <xf numFmtId="0" fontId="0" fillId="0" borderId="0" xfId="0" applyAlignment="1">
      <alignment/>
    </xf>
    <xf numFmtId="164" fontId="0" fillId="33" borderId="21" xfId="0" applyNumberFormat="1" applyFill="1" applyBorder="1" applyAlignment="1" applyProtection="1">
      <alignment horizontal="center"/>
      <protection locked="0"/>
    </xf>
    <xf numFmtId="164" fontId="0" fillId="0" borderId="22" xfId="0" applyNumberFormat="1" applyBorder="1" applyAlignment="1" applyProtection="1">
      <alignment horizontal="center"/>
      <protection locked="0"/>
    </xf>
    <xf numFmtId="0" fontId="2" fillId="0" borderId="0" xfId="0" applyFont="1" applyAlignment="1">
      <alignment horizontal="center" wrapText="1"/>
    </xf>
    <xf numFmtId="0" fontId="0" fillId="0" borderId="0" xfId="0" applyAlignment="1">
      <alignment wrapText="1"/>
    </xf>
    <xf numFmtId="0" fontId="3" fillId="0" borderId="0" xfId="0" applyFont="1" applyAlignment="1">
      <alignment horizontal="center"/>
    </xf>
    <xf numFmtId="0" fontId="3" fillId="0" borderId="27" xfId="0" applyFont="1" applyBorder="1" applyAlignment="1">
      <alignment horizontal="center"/>
    </xf>
    <xf numFmtId="0" fontId="3" fillId="0" borderId="0" xfId="0" applyFont="1" applyBorder="1" applyAlignment="1">
      <alignment horizontal="center"/>
    </xf>
    <xf numFmtId="0" fontId="3" fillId="0" borderId="28" xfId="0" applyFont="1" applyBorder="1" applyAlignment="1">
      <alignment horizontal="center"/>
    </xf>
    <xf numFmtId="0" fontId="2" fillId="0" borderId="12" xfId="0" applyFont="1" applyBorder="1" applyAlignment="1">
      <alignment horizontal="center"/>
    </xf>
    <xf numFmtId="0" fontId="2" fillId="0" borderId="14" xfId="0" applyFont="1" applyBorder="1" applyAlignment="1">
      <alignment horizontal="center"/>
    </xf>
    <xf numFmtId="0" fontId="4" fillId="33" borderId="27" xfId="0" applyFont="1" applyFill="1" applyBorder="1" applyAlignment="1">
      <alignment horizontal="center"/>
    </xf>
    <xf numFmtId="0" fontId="4" fillId="33" borderId="0" xfId="0" applyFont="1" applyFill="1" applyBorder="1" applyAlignment="1">
      <alignment horizontal="center"/>
    </xf>
    <xf numFmtId="0" fontId="4" fillId="33" borderId="28" xfId="0" applyFont="1" applyFill="1" applyBorder="1" applyAlignment="1">
      <alignment horizontal="center"/>
    </xf>
    <xf numFmtId="0" fontId="0" fillId="0" borderId="0" xfId="0" applyAlignment="1">
      <alignment horizontal="justify" vertical="top" wrapText="1"/>
    </xf>
    <xf numFmtId="0" fontId="0" fillId="0" borderId="0" xfId="0" applyFont="1" applyAlignment="1">
      <alignment horizontal="justify" vertical="top" wrapText="1"/>
    </xf>
    <xf numFmtId="0" fontId="0" fillId="0" borderId="0" xfId="0" applyFont="1" applyAlignment="1">
      <alignment horizontal="justify"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xample" xfId="57"/>
    <cellStyle name="Normal_Should I incorporate Pro Version 20034" xfId="58"/>
    <cellStyle name="Note" xfId="59"/>
    <cellStyle name="Output" xfId="60"/>
    <cellStyle name="Percent" xfId="61"/>
    <cellStyle name="Title" xfId="62"/>
    <cellStyle name="Total" xfId="63"/>
    <cellStyle name="Warning Text" xfId="64"/>
  </cellStyles>
  <dxfs count="3">
    <dxf>
      <fill>
        <patternFill>
          <bgColor indexed="11"/>
        </patternFill>
      </fill>
    </dxf>
    <dxf>
      <fill>
        <patternFill>
          <bgColor indexed="11"/>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xdr:row>
      <xdr:rowOff>9525</xdr:rowOff>
    </xdr:from>
    <xdr:to>
      <xdr:col>7</xdr:col>
      <xdr:colOff>266700</xdr:colOff>
      <xdr:row>10</xdr:row>
      <xdr:rowOff>152400</xdr:rowOff>
    </xdr:to>
    <xdr:sp>
      <xdr:nvSpPr>
        <xdr:cNvPr id="1" name="Text Box 1"/>
        <xdr:cNvSpPr txBox="1">
          <a:spLocks noChangeArrowheads="1"/>
        </xdr:cNvSpPr>
      </xdr:nvSpPr>
      <xdr:spPr>
        <a:xfrm>
          <a:off x="838200" y="333375"/>
          <a:ext cx="4295775" cy="1438275"/>
        </a:xfrm>
        <a:prstGeom prst="rect">
          <a:avLst/>
        </a:prstGeom>
        <a:gradFill rotWithShape="1">
          <a:gsLst>
            <a:gs pos="0">
              <a:srgbClr val="AAAAD5"/>
            </a:gs>
            <a:gs pos="100000">
              <a:srgbClr val="000080"/>
            </a:gs>
          </a:gsLst>
          <a:path path="rect">
            <a:fillToRect l="50000" t="50000" r="50000" b="50000"/>
          </a:path>
        </a:gradFill>
        <a:ln w="9525" cmpd="sng">
          <a:noFill/>
        </a:ln>
      </xdr:spPr>
      <xdr:txBody>
        <a:bodyPr vertOverflow="clip" wrap="square" lIns="36576" tIns="22860" rIns="36576" bIns="0"/>
        <a:p>
          <a:pPr algn="ctr">
            <a:defRPr/>
          </a:pPr>
          <a:r>
            <a:rPr lang="en-US" cap="none" sz="1200" b="1" i="0" u="none" baseline="0">
              <a:solidFill>
                <a:srgbClr val="FFFFFF"/>
              </a:solidFill>
              <a:latin typeface="Tahoma"/>
              <a:ea typeface="Tahoma"/>
              <a:cs typeface="Tahoma"/>
            </a:rPr>
            <a:t>                  
</a:t>
          </a:r>
          <a:r>
            <a:rPr lang="en-US" cap="none" sz="1200" b="1" i="0" u="none" baseline="0">
              <a:solidFill>
                <a:srgbClr val="FFFFFF"/>
              </a:solidFill>
              <a:latin typeface="Tahoma"/>
              <a:ea typeface="Tahoma"/>
              <a:cs typeface="Tahoma"/>
            </a:rPr>
            <a:t>
</a:t>
          </a:r>
          <a:r>
            <a:rPr lang="en-US" cap="none" sz="1800" b="1" i="0" u="none" baseline="0">
              <a:solidFill>
                <a:srgbClr val="FFFFFF"/>
              </a:solidFill>
              <a:latin typeface="Tahoma"/>
              <a:ea typeface="Tahoma"/>
              <a:cs typeface="Tahoma"/>
            </a:rPr>
            <a:t>INHERITANCE TAX CALCULATOR
</a:t>
          </a:r>
        </a:p>
      </xdr:txBody>
    </xdr:sp>
    <xdr:clientData/>
  </xdr:twoCellAnchor>
  <xdr:twoCellAnchor editAs="oneCell">
    <xdr:from>
      <xdr:col>9</xdr:col>
      <xdr:colOff>485775</xdr:colOff>
      <xdr:row>2</xdr:row>
      <xdr:rowOff>76200</xdr:rowOff>
    </xdr:from>
    <xdr:to>
      <xdr:col>11</xdr:col>
      <xdr:colOff>419100</xdr:colOff>
      <xdr:row>11</xdr:row>
      <xdr:rowOff>0</xdr:rowOff>
    </xdr:to>
    <xdr:pic>
      <xdr:nvPicPr>
        <xdr:cNvPr id="2" name="Picture 5" descr="2020Prod"/>
        <xdr:cNvPicPr preferRelativeResize="1">
          <a:picLocks noChangeAspect="1"/>
        </xdr:cNvPicPr>
      </xdr:nvPicPr>
      <xdr:blipFill>
        <a:blip r:embed="rId1"/>
        <a:stretch>
          <a:fillRect/>
        </a:stretch>
      </xdr:blipFill>
      <xdr:spPr>
        <a:xfrm>
          <a:off x="6553200" y="400050"/>
          <a:ext cx="1419225" cy="1381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714375</xdr:colOff>
      <xdr:row>55</xdr:row>
      <xdr:rowOff>9525</xdr:rowOff>
    </xdr:from>
    <xdr:ext cx="200025" cy="257175"/>
    <xdr:sp fLocksText="0">
      <xdr:nvSpPr>
        <xdr:cNvPr id="1" name="TextBox 1"/>
        <xdr:cNvSpPr txBox="1">
          <a:spLocks noChangeArrowheads="1"/>
        </xdr:cNvSpPr>
      </xdr:nvSpPr>
      <xdr:spPr>
        <a:xfrm>
          <a:off x="5857875" y="7277100"/>
          <a:ext cx="200025" cy="257175"/>
        </a:xfrm>
        <a:prstGeom prst="rect">
          <a:avLst/>
        </a:prstGeom>
        <a:noFill/>
        <a:ln w="9525" cmpd="sng">
          <a:noFill/>
        </a:ln>
      </xdr:spPr>
      <xdr:txBody>
        <a:bodyPr vertOverflow="clip" wrap="square">
          <a:spAutoFit/>
        </a:bodyPr>
        <a:p>
          <a:pPr algn="l">
            <a:defRPr/>
          </a:pPr>
          <a:r>
            <a:rPr lang="en-US" cap="none" u="none" baseline="0">
              <a:latin typeface="ZapfHumnst BT"/>
              <a:ea typeface="ZapfHumnst BT"/>
              <a:cs typeface="ZapfHumnst BT"/>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gov.uk/hmrc-internal-manuals/inheritance-tax-manual/ihtm22041" TargetMode="External" /><Relationship Id="rId2" Type="http://schemas.openxmlformats.org/officeDocument/2006/relationships/hyperlink" Target="https://www.gov.uk/hmrc-internal-manuals/inheritance-tax-manual/ihtm04027" TargetMode="External" /><Relationship Id="rId3" Type="http://schemas.openxmlformats.org/officeDocument/2006/relationships/hyperlink" Target="https://www.gov.uk/hmrc-internal-manuals/inheritance-tax-manual/ihtm04067" TargetMode="External" /><Relationship Id="rId4" Type="http://schemas.openxmlformats.org/officeDocument/2006/relationships/hyperlink" Target="https://www.gov.uk/hmrc-internal-manuals/inheritance-tax-manual/ihtm22041" TargetMode="External" /><Relationship Id="rId5" Type="http://schemas.openxmlformats.org/officeDocument/2006/relationships/hyperlink" Target="https://www.gov.uk/hmrc-internal-manuals/inheritance-tax-manual/ihtm04027" TargetMode="External" /><Relationship Id="rId6"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T23"/>
  <sheetViews>
    <sheetView showGridLines="0" showRowColHeaders="0" showZeros="0" tabSelected="1" showOutlineSymbols="0" zoomScalePageLayoutView="0" workbookViewId="0" topLeftCell="A1">
      <selection activeCell="B2" sqref="B2"/>
    </sheetView>
  </sheetViews>
  <sheetFormatPr defaultColWidth="9.125" defaultRowHeight="12.75"/>
  <cols>
    <col min="1" max="8" width="9.125" style="57" customWidth="1"/>
    <col min="9" max="9" width="6.625" style="57" customWidth="1"/>
    <col min="10" max="10" width="10.375" style="57" customWidth="1"/>
    <col min="11" max="11" width="9.125" style="57" customWidth="1"/>
    <col min="12" max="12" width="10.00390625" style="57" customWidth="1"/>
    <col min="13" max="16" width="9.125" style="57" customWidth="1"/>
    <col min="17" max="20" width="9.125" style="57" hidden="1" customWidth="1"/>
    <col min="21" max="16384" width="9.125" style="57" customWidth="1"/>
  </cols>
  <sheetData>
    <row r="2" spans="3:12" ht="12.75">
      <c r="C2"/>
      <c r="D2"/>
      <c r="E2"/>
      <c r="J2" s="169">
        <v>43175</v>
      </c>
      <c r="K2" s="170"/>
      <c r="L2" s="126">
        <v>12</v>
      </c>
    </row>
    <row r="3" ht="12.75"/>
    <row r="4" ht="12.75"/>
    <row r="5" ht="12.75"/>
    <row r="6" ht="12.75"/>
    <row r="7" ht="12.75"/>
    <row r="8" ht="12.75"/>
    <row r="9" ht="12.75"/>
    <row r="10" ht="12.75"/>
    <row r="11" ht="12.75"/>
    <row r="12" ht="12.75"/>
    <row r="13" ht="12.75">
      <c r="B13" s="60" t="s">
        <v>32</v>
      </c>
    </row>
    <row r="14" spans="1:9" ht="94.5" customHeight="1">
      <c r="A14" s="58"/>
      <c r="B14" s="165" t="s">
        <v>231</v>
      </c>
      <c r="C14" s="166"/>
      <c r="D14" s="166"/>
      <c r="E14" s="166"/>
      <c r="F14" s="166"/>
      <c r="G14" s="166"/>
      <c r="H14" s="166"/>
      <c r="I14" s="166"/>
    </row>
    <row r="15" spans="1:9" ht="20.25" customHeight="1">
      <c r="A15" s="58"/>
      <c r="B15" s="59" t="s">
        <v>232</v>
      </c>
      <c r="C15" s="58"/>
      <c r="D15" s="58"/>
      <c r="E15" s="58"/>
      <c r="F15" s="58"/>
      <c r="G15" s="58"/>
      <c r="H15" s="58"/>
      <c r="I15" s="58"/>
    </row>
    <row r="16" spans="1:9" ht="56.25" customHeight="1">
      <c r="A16" s="58"/>
      <c r="B16" s="167" t="s">
        <v>233</v>
      </c>
      <c r="C16" s="168"/>
      <c r="D16" s="168"/>
      <c r="E16" s="168"/>
      <c r="F16" s="168"/>
      <c r="G16" s="168"/>
      <c r="H16" s="168"/>
      <c r="I16" s="168"/>
    </row>
    <row r="17" spans="2:20" ht="12.75">
      <c r="B17" s="93" t="s">
        <v>195</v>
      </c>
      <c r="R17" s="94" t="s">
        <v>190</v>
      </c>
      <c r="S17" s="95">
        <v>2</v>
      </c>
      <c r="T17" s="57" t="str">
        <f>IF(S17=1,"Review","Death")</f>
        <v>Death</v>
      </c>
    </row>
    <row r="18" spans="10:19" ht="12.75">
      <c r="J18" s="60" t="s">
        <v>192</v>
      </c>
      <c r="R18" s="94" t="s">
        <v>106</v>
      </c>
      <c r="S18" s="95"/>
    </row>
    <row r="22" spans="6:9" ht="12.75">
      <c r="F22" s="124" t="s">
        <v>202</v>
      </c>
      <c r="G22" s="124"/>
      <c r="H22" s="124"/>
      <c r="I22" s="124"/>
    </row>
    <row r="23" spans="6:9" ht="12.75">
      <c r="F23" s="124" t="s">
        <v>203</v>
      </c>
      <c r="G23" s="124"/>
      <c r="H23" s="124"/>
      <c r="I23" s="124"/>
    </row>
  </sheetData>
  <sheetProtection password="CC78" sheet="1" objects="1" scenarios="1"/>
  <mergeCells count="3">
    <mergeCell ref="B14:I14"/>
    <mergeCell ref="B16:I16"/>
    <mergeCell ref="J2:K2"/>
  </mergeCells>
  <printOptions/>
  <pageMargins left="0.7480314960629921" right="0.7480314960629921" top="0.984251968503937" bottom="0.984251968503937" header="0.5118110236220472" footer="0.5118110236220472"/>
  <pageSetup fitToHeight="1" fitToWidth="1" horizontalDpi="600" verticalDpi="600" orientation="portrait" paperSize="9" scale="74" r:id="rId3"/>
  <drawing r:id="rId2"/>
  <legacyDrawing r:id="rId1"/>
</worksheet>
</file>

<file path=xl/worksheets/sheet10.xml><?xml version="1.0" encoding="utf-8"?>
<worksheet xmlns="http://schemas.openxmlformats.org/spreadsheetml/2006/main" xmlns:r="http://schemas.openxmlformats.org/officeDocument/2006/relationships">
  <sheetPr codeName="Sheet15"/>
  <dimension ref="A1:AH130"/>
  <sheetViews>
    <sheetView zoomScale="75" zoomScaleNormal="75" zoomScalePageLayoutView="0" workbookViewId="0" topLeftCell="A1">
      <selection activeCell="A21" sqref="A21"/>
    </sheetView>
  </sheetViews>
  <sheetFormatPr defaultColWidth="10.625" defaultRowHeight="12.75"/>
  <cols>
    <col min="1" max="1" width="13.50390625" style="133" bestFit="1" customWidth="1"/>
    <col min="2" max="2" width="11.625" style="133" bestFit="1" customWidth="1"/>
    <col min="3" max="3" width="12.125" style="133" bestFit="1" customWidth="1"/>
    <col min="4" max="4" width="10.625" style="133" bestFit="1" customWidth="1"/>
    <col min="5" max="5" width="11.375" style="133" bestFit="1" customWidth="1"/>
    <col min="6" max="7" width="11.375" style="133" customWidth="1"/>
    <col min="8" max="8" width="10.625" style="133" bestFit="1" customWidth="1"/>
    <col min="9" max="11" width="12.00390625" style="133" customWidth="1"/>
    <col min="12" max="19" width="10.625" style="133" bestFit="1" customWidth="1"/>
    <col min="20" max="16384" width="10.625" style="133" customWidth="1"/>
  </cols>
  <sheetData>
    <row r="1" spans="2:34" ht="12.75">
      <c r="B1" s="137"/>
      <c r="C1" s="137"/>
      <c r="D1" s="137"/>
      <c r="E1" s="137"/>
      <c r="F1" s="137"/>
      <c r="G1" s="137"/>
      <c r="H1" s="137"/>
      <c r="I1" s="137"/>
      <c r="J1" s="137"/>
      <c r="K1" s="137"/>
      <c r="L1" s="138">
        <f>B5</f>
        <v>0</v>
      </c>
      <c r="M1" s="138">
        <f>B6</f>
        <v>0</v>
      </c>
      <c r="N1" s="138">
        <f>B7</f>
        <v>0</v>
      </c>
      <c r="O1" s="138">
        <f>B8</f>
        <v>0</v>
      </c>
      <c r="P1" s="138">
        <f>B9</f>
        <v>0</v>
      </c>
      <c r="Q1" s="138">
        <f>B10</f>
        <v>0</v>
      </c>
      <c r="R1" s="138">
        <f>B11</f>
        <v>0</v>
      </c>
      <c r="S1" s="138">
        <f>B12</f>
        <v>0</v>
      </c>
      <c r="T1" s="138">
        <f>B13</f>
        <v>0</v>
      </c>
      <c r="U1" s="138">
        <f>B14</f>
        <v>0</v>
      </c>
      <c r="V1" s="138">
        <f>B15</f>
        <v>0</v>
      </c>
      <c r="W1" s="138">
        <f>B16</f>
        <v>0</v>
      </c>
      <c r="X1" s="138">
        <f>B17</f>
        <v>0</v>
      </c>
      <c r="Y1" s="138">
        <f>B18</f>
        <v>0</v>
      </c>
      <c r="Z1" s="138">
        <f>B19</f>
        <v>0</v>
      </c>
      <c r="AA1" s="138">
        <f>B20</f>
        <v>0</v>
      </c>
      <c r="AB1" s="138">
        <f>B21</f>
        <v>0</v>
      </c>
      <c r="AC1" s="138">
        <f>B21</f>
        <v>0</v>
      </c>
      <c r="AD1" s="138"/>
      <c r="AE1" s="138"/>
      <c r="AF1" s="138"/>
      <c r="AG1" s="138"/>
      <c r="AH1" s="138"/>
    </row>
    <row r="2" spans="2:34" ht="12.75">
      <c r="B2" s="137"/>
      <c r="C2" s="137"/>
      <c r="D2" s="137"/>
      <c r="E2" s="137"/>
      <c r="H2" s="137"/>
      <c r="I2" s="137"/>
      <c r="J2" s="137"/>
      <c r="K2" s="137"/>
      <c r="L2" s="138">
        <f aca="true" t="shared" si="0" ref="L2:AC2">IF(L1=0,0,EDATE(L1,-84))</f>
        <v>0</v>
      </c>
      <c r="M2" s="138">
        <f t="shared" si="0"/>
        <v>0</v>
      </c>
      <c r="N2" s="138">
        <f t="shared" si="0"/>
        <v>0</v>
      </c>
      <c r="O2" s="138">
        <f t="shared" si="0"/>
        <v>0</v>
      </c>
      <c r="P2" s="138">
        <f t="shared" si="0"/>
        <v>0</v>
      </c>
      <c r="Q2" s="138">
        <f t="shared" si="0"/>
        <v>0</v>
      </c>
      <c r="R2" s="138">
        <f t="shared" si="0"/>
        <v>0</v>
      </c>
      <c r="S2" s="138">
        <f t="shared" si="0"/>
        <v>0</v>
      </c>
      <c r="T2" s="138">
        <f t="shared" si="0"/>
        <v>0</v>
      </c>
      <c r="U2" s="138">
        <f t="shared" si="0"/>
        <v>0</v>
      </c>
      <c r="V2" s="138">
        <f t="shared" si="0"/>
        <v>0</v>
      </c>
      <c r="W2" s="138">
        <f t="shared" si="0"/>
        <v>0</v>
      </c>
      <c r="X2" s="138">
        <f t="shared" si="0"/>
        <v>0</v>
      </c>
      <c r="Y2" s="138">
        <f t="shared" si="0"/>
        <v>0</v>
      </c>
      <c r="Z2" s="138">
        <f t="shared" si="0"/>
        <v>0</v>
      </c>
      <c r="AA2" s="138">
        <f t="shared" si="0"/>
        <v>0</v>
      </c>
      <c r="AB2" s="138">
        <f t="shared" si="0"/>
        <v>0</v>
      </c>
      <c r="AC2" s="138">
        <f t="shared" si="0"/>
        <v>0</v>
      </c>
      <c r="AD2" s="138"/>
      <c r="AE2" s="138"/>
      <c r="AF2" s="138"/>
      <c r="AG2" s="138"/>
      <c r="AH2" s="138"/>
    </row>
    <row r="3" spans="2:34" ht="12.75">
      <c r="B3" s="137"/>
      <c r="C3" s="137"/>
      <c r="D3" s="137"/>
      <c r="E3" s="137"/>
      <c r="F3" s="137" t="s">
        <v>212</v>
      </c>
      <c r="G3" s="137" t="s">
        <v>105</v>
      </c>
      <c r="H3" s="137"/>
      <c r="I3" s="137" t="s">
        <v>107</v>
      </c>
      <c r="J3" s="137" t="s">
        <v>43</v>
      </c>
      <c r="K3" s="137" t="s">
        <v>108</v>
      </c>
      <c r="L3" s="136">
        <f>($D5+$K5)</f>
        <v>0</v>
      </c>
      <c r="M3" s="136">
        <f>($D6+$K6)</f>
        <v>0</v>
      </c>
      <c r="N3" s="136">
        <f>($D7+$K7)</f>
        <v>0</v>
      </c>
      <c r="O3" s="136">
        <f>($D8+$K8)</f>
        <v>0</v>
      </c>
      <c r="P3" s="136">
        <f>($D9+$K9)</f>
        <v>0</v>
      </c>
      <c r="Q3" s="136">
        <f>($D10+$K10)</f>
        <v>0</v>
      </c>
      <c r="R3" s="136">
        <f>($D11+$K11)</f>
        <v>0</v>
      </c>
      <c r="S3" s="136">
        <f>($D12+$K12)</f>
        <v>0</v>
      </c>
      <c r="T3" s="136">
        <f>($D13+$K13)</f>
        <v>0</v>
      </c>
      <c r="U3" s="136">
        <f>($D14+$K14)</f>
        <v>0</v>
      </c>
      <c r="V3" s="136">
        <f>($D15+$K15)</f>
        <v>0</v>
      </c>
      <c r="W3" s="136">
        <f>($D16+$K16)</f>
        <v>0</v>
      </c>
      <c r="X3" s="136">
        <f>($D17+$K17)</f>
        <v>0</v>
      </c>
      <c r="Y3" s="136">
        <f>($D18+$K18)</f>
        <v>0</v>
      </c>
      <c r="Z3" s="136">
        <f>($D19+$K19)</f>
        <v>0</v>
      </c>
      <c r="AA3" s="136">
        <f>($D20+$K20)</f>
        <v>0</v>
      </c>
      <c r="AB3" s="136">
        <f>($D21+$K21)</f>
        <v>0</v>
      </c>
      <c r="AC3" s="138"/>
      <c r="AD3" s="138"/>
      <c r="AE3" s="138"/>
      <c r="AF3" s="138"/>
      <c r="AG3" s="138"/>
      <c r="AH3" s="138"/>
    </row>
    <row r="4" spans="1:29" ht="12.75">
      <c r="A4" s="137" t="s">
        <v>38</v>
      </c>
      <c r="B4" s="137" t="s">
        <v>38</v>
      </c>
      <c r="C4" s="137" t="s">
        <v>105</v>
      </c>
      <c r="D4" s="137" t="s">
        <v>27</v>
      </c>
      <c r="E4" s="137" t="s">
        <v>211</v>
      </c>
      <c r="F4" s="137" t="s">
        <v>105</v>
      </c>
      <c r="G4" s="137" t="s">
        <v>213</v>
      </c>
      <c r="H4" s="137" t="s">
        <v>48</v>
      </c>
      <c r="I4" s="137" t="s">
        <v>148</v>
      </c>
      <c r="J4" s="137" t="s">
        <v>44</v>
      </c>
      <c r="K4" s="137" t="s">
        <v>148</v>
      </c>
      <c r="L4" s="137" t="s">
        <v>211</v>
      </c>
      <c r="M4" s="137" t="s">
        <v>211</v>
      </c>
      <c r="N4" s="137" t="s">
        <v>211</v>
      </c>
      <c r="O4" s="137" t="s">
        <v>211</v>
      </c>
      <c r="P4" s="137" t="s">
        <v>211</v>
      </c>
      <c r="Q4" s="137" t="s">
        <v>211</v>
      </c>
      <c r="R4" s="137" t="s">
        <v>211</v>
      </c>
      <c r="S4" s="137" t="s">
        <v>211</v>
      </c>
      <c r="T4" s="137" t="s">
        <v>211</v>
      </c>
      <c r="U4" s="137" t="s">
        <v>211</v>
      </c>
      <c r="V4" s="137" t="s">
        <v>211</v>
      </c>
      <c r="W4" s="137" t="s">
        <v>211</v>
      </c>
      <c r="X4" s="137" t="s">
        <v>211</v>
      </c>
      <c r="Y4" s="137" t="s">
        <v>211</v>
      </c>
      <c r="Z4" s="137" t="s">
        <v>211</v>
      </c>
      <c r="AA4" s="137" t="s">
        <v>211</v>
      </c>
      <c r="AB4" s="137" t="s">
        <v>211</v>
      </c>
      <c r="AC4" s="137" t="s">
        <v>211</v>
      </c>
    </row>
    <row r="5" spans="1:29" ht="12.75">
      <c r="A5" s="135">
        <f>Lookup!B45</f>
        <v>0</v>
      </c>
      <c r="B5" s="134">
        <f>Lookup!C45</f>
        <v>0</v>
      </c>
      <c r="C5" s="133">
        <f>Lookup!$D$27+$D$54*$D$57</f>
        <v>325000</v>
      </c>
      <c r="D5" s="136">
        <f>IF(B5&lt;B24,'Lifetime Gifts'!L39,'Lifetime Gifts'!L39+'Lifetime Gifts'!J39)</f>
        <v>0</v>
      </c>
      <c r="E5" s="136">
        <f aca="true" t="shared" si="1" ref="E5:E22">AC5</f>
        <v>0</v>
      </c>
      <c r="F5" s="133">
        <f aca="true" t="shared" si="2" ref="F5:F21">IF(E5&gt;C5,0,C5-E5)</f>
        <v>325000</v>
      </c>
      <c r="G5" s="136">
        <f aca="true" t="shared" si="3" ref="G5:G21">D5-H5</f>
        <v>0</v>
      </c>
      <c r="H5" s="136">
        <f aca="true" t="shared" si="4" ref="H5:H21">IF(D5-F5&lt;0,0,D5-F5)</f>
        <v>0</v>
      </c>
      <c r="I5" s="133">
        <f>IF('Lifetime Gifts'!Y39="donor",H5*40%,0)</f>
        <v>0</v>
      </c>
      <c r="J5" s="141">
        <f>'Death Chargeable Gifts'!S39</f>
        <v>0</v>
      </c>
      <c r="K5" s="133">
        <f aca="true" t="shared" si="5" ref="K5:K19">I5*(1-J5)</f>
        <v>0</v>
      </c>
      <c r="AC5" s="136">
        <f aca="true" t="shared" si="6" ref="AC5:AC22">SUM(L5:AB5)</f>
        <v>0</v>
      </c>
    </row>
    <row r="6" spans="1:29" ht="12.75">
      <c r="A6" s="135">
        <f>Lookup!B44</f>
        <v>0</v>
      </c>
      <c r="B6" s="134">
        <f>Lookup!C44</f>
        <v>0</v>
      </c>
      <c r="C6" s="133">
        <f>Lookup!$D$27+$D$54*$D$57</f>
        <v>325000</v>
      </c>
      <c r="D6" s="136">
        <f>IF(B6&lt;B24,'Lifetime Gifts'!L37,'Lifetime Gifts'!L37+'Lifetime Gifts'!J37)</f>
        <v>0</v>
      </c>
      <c r="E6" s="136">
        <f t="shared" si="1"/>
        <v>0</v>
      </c>
      <c r="F6" s="133">
        <f t="shared" si="2"/>
        <v>325000</v>
      </c>
      <c r="G6" s="136">
        <f t="shared" si="3"/>
        <v>0</v>
      </c>
      <c r="H6" s="136">
        <f t="shared" si="4"/>
        <v>0</v>
      </c>
      <c r="I6" s="133">
        <f>IF('Lifetime Gifts'!Y37="donor",H6*40%,0)</f>
        <v>0</v>
      </c>
      <c r="J6" s="141">
        <f>'Death Chargeable Gifts'!S37</f>
        <v>0</v>
      </c>
      <c r="K6" s="133">
        <f t="shared" si="5"/>
        <v>0</v>
      </c>
      <c r="L6" s="133">
        <f>IF(L$1&gt;$M$2,L$3,0)</f>
        <v>0</v>
      </c>
      <c r="AC6" s="136">
        <f t="shared" si="6"/>
        <v>0</v>
      </c>
    </row>
    <row r="7" spans="1:29" ht="12.75">
      <c r="A7" s="135">
        <f>Lookup!B43</f>
        <v>0</v>
      </c>
      <c r="B7" s="134">
        <f>Lookup!C43</f>
        <v>0</v>
      </c>
      <c r="C7" s="133">
        <f>Lookup!$D$27+$D$54*$D$57</f>
        <v>325000</v>
      </c>
      <c r="D7" s="136">
        <f>IF(B7&lt;B24,'Lifetime Gifts'!L35,'Lifetime Gifts'!L35+'Lifetime Gifts'!J35)</f>
        <v>0</v>
      </c>
      <c r="E7" s="136">
        <f t="shared" si="1"/>
        <v>0</v>
      </c>
      <c r="F7" s="133">
        <f t="shared" si="2"/>
        <v>325000</v>
      </c>
      <c r="G7" s="136">
        <f t="shared" si="3"/>
        <v>0</v>
      </c>
      <c r="H7" s="136">
        <f t="shared" si="4"/>
        <v>0</v>
      </c>
      <c r="I7" s="133">
        <f>IF('Lifetime Gifts'!Y35="donor",H7*40%,0)</f>
        <v>0</v>
      </c>
      <c r="J7" s="141">
        <f>'Death Chargeable Gifts'!S35</f>
        <v>0</v>
      </c>
      <c r="K7" s="133">
        <f t="shared" si="5"/>
        <v>0</v>
      </c>
      <c r="L7" s="133">
        <f>IF(L$1&gt;$N$2,L$3,0)</f>
        <v>0</v>
      </c>
      <c r="M7" s="133">
        <f>IF(M$1&gt;$N$2,M$3,0)</f>
        <v>0</v>
      </c>
      <c r="AC7" s="136">
        <f t="shared" si="6"/>
        <v>0</v>
      </c>
    </row>
    <row r="8" spans="1:29" ht="12.75">
      <c r="A8" s="135">
        <f>Lookup!B42</f>
        <v>0</v>
      </c>
      <c r="B8" s="134">
        <f>Lookup!C42</f>
        <v>0</v>
      </c>
      <c r="C8" s="133">
        <f>Lookup!$D$27+$D$54*$D$57</f>
        <v>325000</v>
      </c>
      <c r="D8" s="136">
        <f>IF(B8&lt;B24,'Lifetime Gifts'!L33,'Lifetime Gifts'!L33+'Lifetime Gifts'!J33)</f>
        <v>0</v>
      </c>
      <c r="E8" s="136">
        <f t="shared" si="1"/>
        <v>0</v>
      </c>
      <c r="F8" s="133">
        <f t="shared" si="2"/>
        <v>325000</v>
      </c>
      <c r="G8" s="136">
        <f t="shared" si="3"/>
        <v>0</v>
      </c>
      <c r="H8" s="136">
        <f t="shared" si="4"/>
        <v>0</v>
      </c>
      <c r="I8" s="133">
        <f>IF('Lifetime Gifts'!Y33="donor",H8*40%,0)</f>
        <v>0</v>
      </c>
      <c r="J8" s="141">
        <f>'Death Chargeable Gifts'!S33</f>
        <v>0</v>
      </c>
      <c r="K8" s="133">
        <f t="shared" si="5"/>
        <v>0</v>
      </c>
      <c r="L8" s="133">
        <f>IF(L$1&gt;$O$2,L$3,0)</f>
        <v>0</v>
      </c>
      <c r="M8" s="133">
        <f>IF(M$1&gt;$O$2,M$3,0)</f>
        <v>0</v>
      </c>
      <c r="N8" s="133">
        <f>IF(N$1&gt;$O$2,N$3,0)</f>
        <v>0</v>
      </c>
      <c r="AC8" s="136">
        <f t="shared" si="6"/>
        <v>0</v>
      </c>
    </row>
    <row r="9" spans="1:29" ht="12.75">
      <c r="A9" s="135">
        <f>Lookup!B41</f>
        <v>0</v>
      </c>
      <c r="B9" s="134">
        <f>Lookup!C41</f>
        <v>0</v>
      </c>
      <c r="C9" s="133">
        <f>Lookup!$D$27+$D$54*$D$57</f>
        <v>325000</v>
      </c>
      <c r="D9" s="136">
        <f>IF(B9&lt;B24,0,'Lifetime Gifts'!L31+'Lifetime Gifts'!J31)</f>
        <v>0</v>
      </c>
      <c r="E9" s="136">
        <f t="shared" si="1"/>
        <v>0</v>
      </c>
      <c r="F9" s="133">
        <f t="shared" si="2"/>
        <v>325000</v>
      </c>
      <c r="G9" s="136">
        <f t="shared" si="3"/>
        <v>0</v>
      </c>
      <c r="H9" s="136">
        <f t="shared" si="4"/>
        <v>0</v>
      </c>
      <c r="I9" s="133">
        <f>IF('Lifetime Gifts'!Y31="donor",H9*40%,0)</f>
        <v>0</v>
      </c>
      <c r="J9" s="141">
        <f>'Death Chargeable Gifts'!S31</f>
        <v>0</v>
      </c>
      <c r="K9" s="133">
        <f t="shared" si="5"/>
        <v>0</v>
      </c>
      <c r="L9" s="133">
        <f>IF(L$1&gt;$P$2,L$3,0)</f>
        <v>0</v>
      </c>
      <c r="M9" s="133">
        <f>IF(M$1&gt;$P$2,M$3,0)</f>
        <v>0</v>
      </c>
      <c r="N9" s="133">
        <f>IF(N$1&gt;$P$2,N$3,0)</f>
        <v>0</v>
      </c>
      <c r="O9" s="133">
        <f>IF(O$1&gt;$P$2,O$3,0)</f>
        <v>0</v>
      </c>
      <c r="AC9" s="136">
        <f t="shared" si="6"/>
        <v>0</v>
      </c>
    </row>
    <row r="10" spans="1:29" ht="12.75">
      <c r="A10" s="135">
        <f>Lookup!B40</f>
        <v>0</v>
      </c>
      <c r="B10" s="134">
        <f>Lookup!C40</f>
        <v>0</v>
      </c>
      <c r="C10" s="133">
        <f>Lookup!$D$27+$D$54*$D$57</f>
        <v>325000</v>
      </c>
      <c r="D10" s="136">
        <f>IF(B10&lt;B24,'Lifetime Gifts'!L29,'Lifetime Gifts'!L29+'Lifetime Gifts'!J29)</f>
        <v>0</v>
      </c>
      <c r="E10" s="136">
        <f t="shared" si="1"/>
        <v>0</v>
      </c>
      <c r="F10" s="133">
        <f t="shared" si="2"/>
        <v>325000</v>
      </c>
      <c r="G10" s="136">
        <f t="shared" si="3"/>
        <v>0</v>
      </c>
      <c r="H10" s="136">
        <f t="shared" si="4"/>
        <v>0</v>
      </c>
      <c r="I10" s="133">
        <f>IF('Lifetime Gifts'!Y29="donor",H10*40%,0)</f>
        <v>0</v>
      </c>
      <c r="J10" s="141">
        <f>'Death Chargeable Gifts'!S29</f>
        <v>0</v>
      </c>
      <c r="K10" s="133">
        <f t="shared" si="5"/>
        <v>0</v>
      </c>
      <c r="L10" s="133">
        <f>IF(L$1&gt;$Q$2,L$3,0)</f>
        <v>0</v>
      </c>
      <c r="M10" s="133">
        <f>IF(M$1&gt;$Q$2,M$3,0)</f>
        <v>0</v>
      </c>
      <c r="N10" s="133">
        <f>IF(N$1&gt;$Q$2,N$3,0)</f>
        <v>0</v>
      </c>
      <c r="O10" s="133">
        <f>IF(O$1&gt;$Q$2,O$3,0)</f>
        <v>0</v>
      </c>
      <c r="P10" s="133">
        <f>IF(P$1&gt;$Q$2,P$3,0)</f>
        <v>0</v>
      </c>
      <c r="AC10" s="136">
        <f t="shared" si="6"/>
        <v>0</v>
      </c>
    </row>
    <row r="11" spans="1:29" ht="12.75">
      <c r="A11" s="135">
        <f>Lookup!B39</f>
        <v>0</v>
      </c>
      <c r="B11" s="134">
        <f>Lookup!C39</f>
        <v>0</v>
      </c>
      <c r="C11" s="133">
        <f>Lookup!$D$27+$D$54*$D$57</f>
        <v>325000</v>
      </c>
      <c r="D11" s="136">
        <f>IF(B11&lt;B24,'Lifetime Gifts'!L27,'Lifetime Gifts'!L27+'Lifetime Gifts'!J27)</f>
        <v>0</v>
      </c>
      <c r="E11" s="136">
        <f t="shared" si="1"/>
        <v>0</v>
      </c>
      <c r="F11" s="133">
        <f t="shared" si="2"/>
        <v>325000</v>
      </c>
      <c r="G11" s="136">
        <f t="shared" si="3"/>
        <v>0</v>
      </c>
      <c r="H11" s="136">
        <f t="shared" si="4"/>
        <v>0</v>
      </c>
      <c r="I11" s="133">
        <f>IF('Lifetime Gifts'!Y27="donor",H11*40%,0)</f>
        <v>0</v>
      </c>
      <c r="J11" s="141">
        <f>'Death Chargeable Gifts'!S27</f>
        <v>0</v>
      </c>
      <c r="K11" s="133">
        <f t="shared" si="5"/>
        <v>0</v>
      </c>
      <c r="L11" s="133">
        <f aca="true" t="shared" si="7" ref="L11:Q11">IF(L$1&gt;$R$2,L$3,0)</f>
        <v>0</v>
      </c>
      <c r="M11" s="133">
        <f t="shared" si="7"/>
        <v>0</v>
      </c>
      <c r="N11" s="133">
        <f t="shared" si="7"/>
        <v>0</v>
      </c>
      <c r="O11" s="133">
        <f t="shared" si="7"/>
        <v>0</v>
      </c>
      <c r="P11" s="133">
        <f t="shared" si="7"/>
        <v>0</v>
      </c>
      <c r="Q11" s="133">
        <f t="shared" si="7"/>
        <v>0</v>
      </c>
      <c r="AC11" s="136">
        <f t="shared" si="6"/>
        <v>0</v>
      </c>
    </row>
    <row r="12" spans="1:29" ht="12.75">
      <c r="A12" s="135">
        <f>Lookup!B38</f>
        <v>0</v>
      </c>
      <c r="B12" s="134">
        <f>Lookup!C38</f>
        <v>0</v>
      </c>
      <c r="C12" s="133">
        <f>Lookup!$D$27+$D$54*$D$57</f>
        <v>325000</v>
      </c>
      <c r="D12" s="136">
        <f>IF(B12&lt;B24,'Lifetime Gifts'!L25,'Lifetime Gifts'!L25+'Lifetime Gifts'!J25)</f>
        <v>0</v>
      </c>
      <c r="E12" s="136">
        <f t="shared" si="1"/>
        <v>0</v>
      </c>
      <c r="F12" s="133">
        <f t="shared" si="2"/>
        <v>325000</v>
      </c>
      <c r="G12" s="136">
        <f t="shared" si="3"/>
        <v>0</v>
      </c>
      <c r="H12" s="136">
        <f t="shared" si="4"/>
        <v>0</v>
      </c>
      <c r="I12" s="133">
        <f>IF('Lifetime Gifts'!Y40="donor",H12*40%,0)</f>
        <v>0</v>
      </c>
      <c r="J12" s="141">
        <f>'Death Chargeable Gifts'!S25</f>
        <v>0</v>
      </c>
      <c r="K12" s="133">
        <f t="shared" si="5"/>
        <v>0</v>
      </c>
      <c r="L12" s="133">
        <f aca="true" t="shared" si="8" ref="L12:R12">IF(L$1&gt;$S$2,L$3,0)</f>
        <v>0</v>
      </c>
      <c r="M12" s="133">
        <f t="shared" si="8"/>
        <v>0</v>
      </c>
      <c r="N12" s="133">
        <f t="shared" si="8"/>
        <v>0</v>
      </c>
      <c r="O12" s="133">
        <f t="shared" si="8"/>
        <v>0</v>
      </c>
      <c r="P12" s="133">
        <f t="shared" si="8"/>
        <v>0</v>
      </c>
      <c r="Q12" s="133">
        <f t="shared" si="8"/>
        <v>0</v>
      </c>
      <c r="R12" s="133">
        <f t="shared" si="8"/>
        <v>0</v>
      </c>
      <c r="AC12" s="136">
        <f t="shared" si="6"/>
        <v>0</v>
      </c>
    </row>
    <row r="13" spans="1:29" ht="12.75">
      <c r="A13" s="135">
        <f>Lookup!B37</f>
        <v>0</v>
      </c>
      <c r="B13" s="134">
        <f>Lookup!C37</f>
        <v>0</v>
      </c>
      <c r="C13" s="133">
        <f>Lookup!$D$27+$D$54*$D$57</f>
        <v>325000</v>
      </c>
      <c r="D13" s="136">
        <f>IF(B13&lt;B24,'Lifetime Gifts'!L23,'Lifetime Gifts'!L23+'Lifetime Gifts'!J23)</f>
        <v>0</v>
      </c>
      <c r="E13" s="136">
        <f t="shared" si="1"/>
        <v>0</v>
      </c>
      <c r="F13" s="133">
        <f t="shared" si="2"/>
        <v>325000</v>
      </c>
      <c r="G13" s="136">
        <f t="shared" si="3"/>
        <v>0</v>
      </c>
      <c r="H13" s="136">
        <f t="shared" si="4"/>
        <v>0</v>
      </c>
      <c r="I13" s="133">
        <f>IF('Lifetime Gifts'!Y23="donor",H13*40%,0)</f>
        <v>0</v>
      </c>
      <c r="J13" s="141">
        <f>'Death Chargeable Gifts'!S23</f>
        <v>0</v>
      </c>
      <c r="K13" s="133">
        <f t="shared" si="5"/>
        <v>0</v>
      </c>
      <c r="L13" s="133">
        <f aca="true" t="shared" si="9" ref="L13:S13">IF(L$1&gt;$T$2,L$3,0)</f>
        <v>0</v>
      </c>
      <c r="M13" s="133">
        <f t="shared" si="9"/>
        <v>0</v>
      </c>
      <c r="N13" s="133">
        <f t="shared" si="9"/>
        <v>0</v>
      </c>
      <c r="O13" s="133">
        <f t="shared" si="9"/>
        <v>0</v>
      </c>
      <c r="P13" s="133">
        <f t="shared" si="9"/>
        <v>0</v>
      </c>
      <c r="Q13" s="133">
        <f t="shared" si="9"/>
        <v>0</v>
      </c>
      <c r="R13" s="133">
        <f t="shared" si="9"/>
        <v>0</v>
      </c>
      <c r="S13" s="133">
        <f t="shared" si="9"/>
        <v>0</v>
      </c>
      <c r="AC13" s="136">
        <f t="shared" si="6"/>
        <v>0</v>
      </c>
    </row>
    <row r="14" spans="1:29" ht="12.75">
      <c r="A14" s="135">
        <f>Lookup!B36</f>
        <v>0</v>
      </c>
      <c r="B14" s="134">
        <f>Lookup!C36</f>
        <v>0</v>
      </c>
      <c r="C14" s="133">
        <f>Lookup!$D$27+$D$54*$D$57</f>
        <v>325000</v>
      </c>
      <c r="D14" s="136">
        <f>IF(B14&lt;B24,'Lifetime Gifts'!L21,'Lifetime Gifts'!L21+'Lifetime Gifts'!J21)</f>
        <v>0</v>
      </c>
      <c r="E14" s="136">
        <f t="shared" si="1"/>
        <v>0</v>
      </c>
      <c r="F14" s="133">
        <f t="shared" si="2"/>
        <v>325000</v>
      </c>
      <c r="G14" s="136">
        <f t="shared" si="3"/>
        <v>0</v>
      </c>
      <c r="H14" s="136">
        <f t="shared" si="4"/>
        <v>0</v>
      </c>
      <c r="I14" s="133">
        <f>IF('Lifetime Gifts'!Y21="donor",H14*40%,0)</f>
        <v>0</v>
      </c>
      <c r="J14" s="141">
        <f>'Death Chargeable Gifts'!S21</f>
        <v>0</v>
      </c>
      <c r="K14" s="133">
        <f t="shared" si="5"/>
        <v>0</v>
      </c>
      <c r="L14" s="133">
        <f aca="true" t="shared" si="10" ref="L14:T14">IF(L$1&gt;$U$2,L$3,0)</f>
        <v>0</v>
      </c>
      <c r="M14" s="133">
        <f t="shared" si="10"/>
        <v>0</v>
      </c>
      <c r="N14" s="133">
        <f t="shared" si="10"/>
        <v>0</v>
      </c>
      <c r="O14" s="133">
        <f t="shared" si="10"/>
        <v>0</v>
      </c>
      <c r="P14" s="133">
        <f t="shared" si="10"/>
        <v>0</v>
      </c>
      <c r="Q14" s="133">
        <f t="shared" si="10"/>
        <v>0</v>
      </c>
      <c r="R14" s="133">
        <f t="shared" si="10"/>
        <v>0</v>
      </c>
      <c r="S14" s="133">
        <f t="shared" si="10"/>
        <v>0</v>
      </c>
      <c r="T14" s="133">
        <f t="shared" si="10"/>
        <v>0</v>
      </c>
      <c r="AC14" s="136">
        <f t="shared" si="6"/>
        <v>0</v>
      </c>
    </row>
    <row r="15" spans="1:29" ht="12.75">
      <c r="A15" s="135">
        <f>Lookup!B35</f>
        <v>0</v>
      </c>
      <c r="B15" s="134">
        <f>Lookup!C35</f>
        <v>0</v>
      </c>
      <c r="C15" s="133">
        <f>Lookup!$D$27+$D$54*$D$57</f>
        <v>325000</v>
      </c>
      <c r="D15" s="136">
        <f>IF(B15&lt;B24,'Lifetime Gifts'!L19,'Lifetime Gifts'!L19+'Lifetime Gifts'!J19)</f>
        <v>0</v>
      </c>
      <c r="E15" s="136">
        <f t="shared" si="1"/>
        <v>0</v>
      </c>
      <c r="F15" s="133">
        <f t="shared" si="2"/>
        <v>325000</v>
      </c>
      <c r="G15" s="136">
        <f t="shared" si="3"/>
        <v>0</v>
      </c>
      <c r="H15" s="136">
        <f t="shared" si="4"/>
        <v>0</v>
      </c>
      <c r="I15" s="133">
        <f>IF('Lifetime Gifts'!Y19="donor",H15*40%,0)</f>
        <v>0</v>
      </c>
      <c r="J15" s="141">
        <f>'Death Chargeable Gifts'!S19</f>
        <v>0</v>
      </c>
      <c r="K15" s="133">
        <f t="shared" si="5"/>
        <v>0</v>
      </c>
      <c r="L15" s="133">
        <f aca="true" t="shared" si="11" ref="L15:U15">IF(L$1&gt;$V$2,L$3,0)</f>
        <v>0</v>
      </c>
      <c r="M15" s="133">
        <f t="shared" si="11"/>
        <v>0</v>
      </c>
      <c r="N15" s="133">
        <f t="shared" si="11"/>
        <v>0</v>
      </c>
      <c r="O15" s="133">
        <f t="shared" si="11"/>
        <v>0</v>
      </c>
      <c r="P15" s="133">
        <f t="shared" si="11"/>
        <v>0</v>
      </c>
      <c r="Q15" s="133">
        <f t="shared" si="11"/>
        <v>0</v>
      </c>
      <c r="R15" s="133">
        <f t="shared" si="11"/>
        <v>0</v>
      </c>
      <c r="S15" s="133">
        <f t="shared" si="11"/>
        <v>0</v>
      </c>
      <c r="T15" s="133">
        <f t="shared" si="11"/>
        <v>0</v>
      </c>
      <c r="U15" s="133">
        <f t="shared" si="11"/>
        <v>0</v>
      </c>
      <c r="AC15" s="136">
        <f t="shared" si="6"/>
        <v>0</v>
      </c>
    </row>
    <row r="16" spans="1:29" ht="12.75">
      <c r="A16" s="135">
        <f>Lookup!B35</f>
        <v>0</v>
      </c>
      <c r="B16" s="134">
        <f>Lookup!C34</f>
        <v>0</v>
      </c>
      <c r="C16" s="133">
        <f>Lookup!$D$27+$D$54*$D$57</f>
        <v>325000</v>
      </c>
      <c r="D16" s="136">
        <f>IF(B16&lt;B24,'Lifetime Gifts'!L17,'Lifetime Gifts'!L17+'Lifetime Gifts'!J17)</f>
        <v>0</v>
      </c>
      <c r="E16" s="136">
        <f t="shared" si="1"/>
        <v>0</v>
      </c>
      <c r="F16" s="133">
        <f t="shared" si="2"/>
        <v>325000</v>
      </c>
      <c r="G16" s="136">
        <f t="shared" si="3"/>
        <v>0</v>
      </c>
      <c r="H16" s="136">
        <f t="shared" si="4"/>
        <v>0</v>
      </c>
      <c r="I16" s="133">
        <f>IF('Lifetime Gifts'!Y17="donor",H16*40%,0)</f>
        <v>0</v>
      </c>
      <c r="J16" s="141">
        <f>'Death Chargeable Gifts'!S17</f>
        <v>0</v>
      </c>
      <c r="K16" s="133">
        <f t="shared" si="5"/>
        <v>0</v>
      </c>
      <c r="L16" s="133">
        <f aca="true" t="shared" si="12" ref="L16:V16">IF(L$1&gt;$W$2,L$3,0)</f>
        <v>0</v>
      </c>
      <c r="M16" s="133">
        <f t="shared" si="12"/>
        <v>0</v>
      </c>
      <c r="N16" s="133">
        <f t="shared" si="12"/>
        <v>0</v>
      </c>
      <c r="O16" s="133">
        <f t="shared" si="12"/>
        <v>0</v>
      </c>
      <c r="P16" s="133">
        <f t="shared" si="12"/>
        <v>0</v>
      </c>
      <c r="Q16" s="133">
        <f t="shared" si="12"/>
        <v>0</v>
      </c>
      <c r="R16" s="133">
        <f t="shared" si="12"/>
        <v>0</v>
      </c>
      <c r="S16" s="133">
        <f t="shared" si="12"/>
        <v>0</v>
      </c>
      <c r="T16" s="133">
        <f t="shared" si="12"/>
        <v>0</v>
      </c>
      <c r="U16" s="133">
        <f t="shared" si="12"/>
        <v>0</v>
      </c>
      <c r="V16" s="133">
        <f t="shared" si="12"/>
        <v>0</v>
      </c>
      <c r="AC16" s="136">
        <f t="shared" si="6"/>
        <v>0</v>
      </c>
    </row>
    <row r="17" spans="1:29" ht="12.75">
      <c r="A17" s="135">
        <f>Lookup!B33</f>
        <v>0</v>
      </c>
      <c r="B17" s="134">
        <f>Lookup!C33</f>
        <v>0</v>
      </c>
      <c r="C17" s="133">
        <f>Lookup!$D$27+$D$54*$D$57</f>
        <v>325000</v>
      </c>
      <c r="D17" s="136">
        <f>IF(B17&lt;B24,'Lifetime Gifts'!L15,'Lifetime Gifts'!L15+'Lifetime Gifts'!J15)</f>
        <v>0</v>
      </c>
      <c r="E17" s="136">
        <f t="shared" si="1"/>
        <v>0</v>
      </c>
      <c r="F17" s="133">
        <f t="shared" si="2"/>
        <v>325000</v>
      </c>
      <c r="G17" s="136">
        <f t="shared" si="3"/>
        <v>0</v>
      </c>
      <c r="H17" s="136">
        <f t="shared" si="4"/>
        <v>0</v>
      </c>
      <c r="I17" s="133">
        <f>IF('Lifetime Gifts'!Y15="donor",H17*40%,0)</f>
        <v>0</v>
      </c>
      <c r="J17" s="141">
        <f>'Death Chargeable Gifts'!S15</f>
        <v>0</v>
      </c>
      <c r="K17" s="133">
        <f t="shared" si="5"/>
        <v>0</v>
      </c>
      <c r="L17" s="133">
        <f aca="true" t="shared" si="13" ref="L17:W17">IF(L$1&gt;$X$2,L$3,0)</f>
        <v>0</v>
      </c>
      <c r="M17" s="133">
        <f t="shared" si="13"/>
        <v>0</v>
      </c>
      <c r="N17" s="133">
        <f t="shared" si="13"/>
        <v>0</v>
      </c>
      <c r="O17" s="133">
        <f t="shared" si="13"/>
        <v>0</v>
      </c>
      <c r="P17" s="133">
        <f t="shared" si="13"/>
        <v>0</v>
      </c>
      <c r="Q17" s="133">
        <f t="shared" si="13"/>
        <v>0</v>
      </c>
      <c r="R17" s="133">
        <f t="shared" si="13"/>
        <v>0</v>
      </c>
      <c r="S17" s="133">
        <f t="shared" si="13"/>
        <v>0</v>
      </c>
      <c r="T17" s="133">
        <f t="shared" si="13"/>
        <v>0</v>
      </c>
      <c r="U17" s="133">
        <f t="shared" si="13"/>
        <v>0</v>
      </c>
      <c r="V17" s="133">
        <f t="shared" si="13"/>
        <v>0</v>
      </c>
      <c r="W17" s="133">
        <f t="shared" si="13"/>
        <v>0</v>
      </c>
      <c r="AC17" s="136">
        <f t="shared" si="6"/>
        <v>0</v>
      </c>
    </row>
    <row r="18" spans="1:29" ht="12.75">
      <c r="A18" s="135">
        <f>Lookup!B32</f>
        <v>0</v>
      </c>
      <c r="B18" s="134">
        <f>Lookup!C32</f>
        <v>0</v>
      </c>
      <c r="C18" s="133">
        <f>Lookup!$D$27+$D$54*$D$57</f>
        <v>325000</v>
      </c>
      <c r="D18" s="136">
        <f>IF(B18&lt;B24,'Lifetime Gifts'!L13,'Lifetime Gifts'!L13+'Lifetime Gifts'!J13)</f>
        <v>0</v>
      </c>
      <c r="E18" s="136">
        <f t="shared" si="1"/>
        <v>0</v>
      </c>
      <c r="F18" s="133">
        <f t="shared" si="2"/>
        <v>325000</v>
      </c>
      <c r="G18" s="136">
        <f t="shared" si="3"/>
        <v>0</v>
      </c>
      <c r="H18" s="136">
        <f t="shared" si="4"/>
        <v>0</v>
      </c>
      <c r="I18" s="133">
        <f>IF('Lifetime Gifts'!Y13="donor",H18*40%,0)</f>
        <v>0</v>
      </c>
      <c r="J18" s="141">
        <f>'Death Chargeable Gifts'!S13</f>
        <v>0</v>
      </c>
      <c r="K18" s="133">
        <f t="shared" si="5"/>
        <v>0</v>
      </c>
      <c r="L18" s="133">
        <f aca="true" t="shared" si="14" ref="L18:X18">IF(L$1&gt;$Y$2,L$3,0)</f>
        <v>0</v>
      </c>
      <c r="M18" s="133">
        <f t="shared" si="14"/>
        <v>0</v>
      </c>
      <c r="N18" s="133">
        <f t="shared" si="14"/>
        <v>0</v>
      </c>
      <c r="O18" s="133">
        <f t="shared" si="14"/>
        <v>0</v>
      </c>
      <c r="P18" s="133">
        <f t="shared" si="14"/>
        <v>0</v>
      </c>
      <c r="Q18" s="133">
        <f t="shared" si="14"/>
        <v>0</v>
      </c>
      <c r="R18" s="133">
        <f t="shared" si="14"/>
        <v>0</v>
      </c>
      <c r="S18" s="133">
        <f t="shared" si="14"/>
        <v>0</v>
      </c>
      <c r="T18" s="133">
        <f t="shared" si="14"/>
        <v>0</v>
      </c>
      <c r="U18" s="133">
        <f t="shared" si="14"/>
        <v>0</v>
      </c>
      <c r="V18" s="133">
        <f t="shared" si="14"/>
        <v>0</v>
      </c>
      <c r="W18" s="133">
        <f t="shared" si="14"/>
        <v>0</v>
      </c>
      <c r="X18" s="133">
        <f t="shared" si="14"/>
        <v>0</v>
      </c>
      <c r="AC18" s="136">
        <f t="shared" si="6"/>
        <v>0</v>
      </c>
    </row>
    <row r="19" spans="1:29" ht="12.75">
      <c r="A19" s="135">
        <f>Lookup!B31</f>
        <v>0</v>
      </c>
      <c r="B19" s="134">
        <f>Lookup!C31</f>
        <v>0</v>
      </c>
      <c r="C19" s="133">
        <f>Lookup!$D$27+$D$54*$D$57</f>
        <v>325000</v>
      </c>
      <c r="D19" s="136">
        <f>IF(B19&lt;B24,'Lifetime Gifts'!L11,'Lifetime Gifts'!L11+'Lifetime Gifts'!J11)</f>
        <v>0</v>
      </c>
      <c r="E19" s="136">
        <f t="shared" si="1"/>
        <v>0</v>
      </c>
      <c r="F19" s="133">
        <f t="shared" si="2"/>
        <v>325000</v>
      </c>
      <c r="G19" s="136">
        <f t="shared" si="3"/>
        <v>0</v>
      </c>
      <c r="H19" s="136">
        <f t="shared" si="4"/>
        <v>0</v>
      </c>
      <c r="I19" s="133">
        <f>IF('Lifetime Gifts'!Y11="donor",H19*40%,0)</f>
        <v>0</v>
      </c>
      <c r="J19" s="141">
        <f>'Death Chargeable Gifts'!S11</f>
        <v>0</v>
      </c>
      <c r="K19" s="133">
        <f t="shared" si="5"/>
        <v>0</v>
      </c>
      <c r="L19" s="133">
        <f aca="true" t="shared" si="15" ref="L19:Y19">IF(L$1&gt;$Z$2,L$3,0)</f>
        <v>0</v>
      </c>
      <c r="M19" s="133">
        <f t="shared" si="15"/>
        <v>0</v>
      </c>
      <c r="N19" s="133">
        <f t="shared" si="15"/>
        <v>0</v>
      </c>
      <c r="O19" s="133">
        <f t="shared" si="15"/>
        <v>0</v>
      </c>
      <c r="P19" s="133">
        <f t="shared" si="15"/>
        <v>0</v>
      </c>
      <c r="Q19" s="133">
        <f t="shared" si="15"/>
        <v>0</v>
      </c>
      <c r="R19" s="133">
        <f t="shared" si="15"/>
        <v>0</v>
      </c>
      <c r="S19" s="133">
        <f t="shared" si="15"/>
        <v>0</v>
      </c>
      <c r="T19" s="133">
        <f t="shared" si="15"/>
        <v>0</v>
      </c>
      <c r="U19" s="133">
        <f t="shared" si="15"/>
        <v>0</v>
      </c>
      <c r="V19" s="133">
        <f t="shared" si="15"/>
        <v>0</v>
      </c>
      <c r="W19" s="133">
        <f t="shared" si="15"/>
        <v>0</v>
      </c>
      <c r="X19" s="133">
        <f t="shared" si="15"/>
        <v>0</v>
      </c>
      <c r="Y19" s="133">
        <f t="shared" si="15"/>
        <v>0</v>
      </c>
      <c r="AC19" s="136">
        <f t="shared" si="6"/>
        <v>0</v>
      </c>
    </row>
    <row r="20" spans="1:29" ht="12.75">
      <c r="A20" s="135">
        <f>Lookup!B30</f>
        <v>0</v>
      </c>
      <c r="B20" s="134">
        <f>Lookup!C30</f>
        <v>0</v>
      </c>
      <c r="C20" s="133">
        <f>Lookup!$D$27+$D$54*$D$57</f>
        <v>325000</v>
      </c>
      <c r="D20" s="136">
        <f>IF(B20&lt;B24,'Lifetime Gifts'!L9,'Lifetime Gifts'!L9+'Lifetime Gifts'!J9)</f>
        <v>0</v>
      </c>
      <c r="E20" s="136">
        <f t="shared" si="1"/>
        <v>0</v>
      </c>
      <c r="F20" s="133">
        <f t="shared" si="2"/>
        <v>325000</v>
      </c>
      <c r="G20" s="136">
        <f t="shared" si="3"/>
        <v>0</v>
      </c>
      <c r="H20" s="136">
        <f t="shared" si="4"/>
        <v>0</v>
      </c>
      <c r="I20" s="133">
        <f>IF('Lifetime Gifts'!Y9="donor",H20*40%,0)</f>
        <v>0</v>
      </c>
      <c r="J20" s="141">
        <f>'Death Chargeable Gifts'!S9</f>
        <v>0</v>
      </c>
      <c r="K20" s="133">
        <f>I20*(1-J20)</f>
        <v>0</v>
      </c>
      <c r="L20" s="133">
        <f aca="true" t="shared" si="16" ref="L20:X20">IF(L$1&gt;$AA2,L$3,0)</f>
        <v>0</v>
      </c>
      <c r="M20" s="133">
        <f t="shared" si="16"/>
        <v>0</v>
      </c>
      <c r="N20" s="133">
        <f t="shared" si="16"/>
        <v>0</v>
      </c>
      <c r="O20" s="133">
        <f t="shared" si="16"/>
        <v>0</v>
      </c>
      <c r="P20" s="133">
        <f t="shared" si="16"/>
        <v>0</v>
      </c>
      <c r="Q20" s="133">
        <f t="shared" si="16"/>
        <v>0</v>
      </c>
      <c r="R20" s="133">
        <f t="shared" si="16"/>
        <v>0</v>
      </c>
      <c r="S20" s="133">
        <f t="shared" si="16"/>
        <v>0</v>
      </c>
      <c r="T20" s="133">
        <f t="shared" si="16"/>
        <v>0</v>
      </c>
      <c r="U20" s="133">
        <f t="shared" si="16"/>
        <v>0</v>
      </c>
      <c r="V20" s="133">
        <f t="shared" si="16"/>
        <v>0</v>
      </c>
      <c r="W20" s="133">
        <f t="shared" si="16"/>
        <v>0</v>
      </c>
      <c r="X20" s="133">
        <f t="shared" si="16"/>
        <v>0</v>
      </c>
      <c r="Y20" s="133">
        <f>IF(Y$1&gt;$AA$2,Y$3,0)</f>
        <v>0</v>
      </c>
      <c r="Z20" s="133">
        <f>IF(Z$1&gt;$AA$2,Z$3,0)</f>
        <v>0</v>
      </c>
      <c r="AC20" s="136">
        <f t="shared" si="6"/>
        <v>0</v>
      </c>
    </row>
    <row r="21" spans="1:29" ht="12.75">
      <c r="A21" s="135">
        <f>Lookup!B29</f>
        <v>0</v>
      </c>
      <c r="B21" s="134">
        <f>Lookup!C29</f>
        <v>0</v>
      </c>
      <c r="C21" s="133">
        <f>Lookup!$D$27+$D$54*$D$57</f>
        <v>325000</v>
      </c>
      <c r="D21" s="136">
        <f>IF(B21&lt;B24,'Lifetime Gifts'!L7,'Lifetime Gifts'!L7+'Lifetime Gifts'!J7)</f>
        <v>0</v>
      </c>
      <c r="E21" s="136">
        <f t="shared" si="1"/>
        <v>0</v>
      </c>
      <c r="F21" s="133">
        <f t="shared" si="2"/>
        <v>325000</v>
      </c>
      <c r="G21" s="136">
        <f t="shared" si="3"/>
        <v>0</v>
      </c>
      <c r="H21" s="136">
        <f t="shared" si="4"/>
        <v>0</v>
      </c>
      <c r="I21" s="133">
        <f>IF('Lifetime Gifts'!Y7="donor",H21*40%,0)</f>
        <v>0</v>
      </c>
      <c r="J21" s="141">
        <f>'Death Chargeable Gifts'!S7</f>
        <v>0</v>
      </c>
      <c r="K21" s="133">
        <f>I21*(1-J21)</f>
        <v>0</v>
      </c>
      <c r="L21" s="133">
        <f aca="true" t="shared" si="17" ref="L21:AA21">IF(L$1&gt;$AB$2,L$3,0)</f>
        <v>0</v>
      </c>
      <c r="M21" s="133">
        <f t="shared" si="17"/>
        <v>0</v>
      </c>
      <c r="N21" s="133">
        <f t="shared" si="17"/>
        <v>0</v>
      </c>
      <c r="O21" s="133">
        <f t="shared" si="17"/>
        <v>0</v>
      </c>
      <c r="P21" s="133">
        <f t="shared" si="17"/>
        <v>0</v>
      </c>
      <c r="Q21" s="133">
        <f t="shared" si="17"/>
        <v>0</v>
      </c>
      <c r="R21" s="133">
        <f t="shared" si="17"/>
        <v>0</v>
      </c>
      <c r="S21" s="133">
        <f t="shared" si="17"/>
        <v>0</v>
      </c>
      <c r="T21" s="133">
        <f t="shared" si="17"/>
        <v>0</v>
      </c>
      <c r="U21" s="133">
        <f t="shared" si="17"/>
        <v>0</v>
      </c>
      <c r="V21" s="133">
        <f t="shared" si="17"/>
        <v>0</v>
      </c>
      <c r="W21" s="133">
        <f t="shared" si="17"/>
        <v>0</v>
      </c>
      <c r="X21" s="133">
        <f t="shared" si="17"/>
        <v>0</v>
      </c>
      <c r="Y21" s="133">
        <f t="shared" si="17"/>
        <v>0</v>
      </c>
      <c r="Z21" s="133">
        <f t="shared" si="17"/>
        <v>0</v>
      </c>
      <c r="AA21" s="133">
        <f t="shared" si="17"/>
        <v>0</v>
      </c>
      <c r="AC21" s="136">
        <f t="shared" si="6"/>
        <v>0</v>
      </c>
    </row>
    <row r="22" spans="2:29" ht="12.75">
      <c r="B22" s="134"/>
      <c r="E22" s="136">
        <f t="shared" si="1"/>
        <v>0</v>
      </c>
      <c r="L22" s="133">
        <f aca="true" t="shared" si="18" ref="L22:AB22">IF(L$1&gt;$AC$2,L$3,0)</f>
        <v>0</v>
      </c>
      <c r="M22" s="133">
        <f t="shared" si="18"/>
        <v>0</v>
      </c>
      <c r="N22" s="133">
        <f t="shared" si="18"/>
        <v>0</v>
      </c>
      <c r="O22" s="133">
        <f t="shared" si="18"/>
        <v>0</v>
      </c>
      <c r="P22" s="133">
        <f t="shared" si="18"/>
        <v>0</v>
      </c>
      <c r="Q22" s="133">
        <f t="shared" si="18"/>
        <v>0</v>
      </c>
      <c r="R22" s="133">
        <f t="shared" si="18"/>
        <v>0</v>
      </c>
      <c r="S22" s="133">
        <f t="shared" si="18"/>
        <v>0</v>
      </c>
      <c r="T22" s="133">
        <f t="shared" si="18"/>
        <v>0</v>
      </c>
      <c r="U22" s="133">
        <f t="shared" si="18"/>
        <v>0</v>
      </c>
      <c r="V22" s="133">
        <f t="shared" si="18"/>
        <v>0</v>
      </c>
      <c r="W22" s="133">
        <f t="shared" si="18"/>
        <v>0</v>
      </c>
      <c r="X22" s="133">
        <f t="shared" si="18"/>
        <v>0</v>
      </c>
      <c r="Y22" s="133">
        <f t="shared" si="18"/>
        <v>0</v>
      </c>
      <c r="Z22" s="133">
        <f t="shared" si="18"/>
        <v>0</v>
      </c>
      <c r="AA22" s="133">
        <f t="shared" si="18"/>
        <v>0</v>
      </c>
      <c r="AB22" s="133">
        <f t="shared" si="18"/>
        <v>0</v>
      </c>
      <c r="AC22" s="136">
        <f t="shared" si="6"/>
        <v>0</v>
      </c>
    </row>
    <row r="23" spans="1:29" ht="12.75">
      <c r="A23" s="135">
        <f>Lookup!B27</f>
        <v>43220</v>
      </c>
      <c r="B23" s="134">
        <f>A23</f>
        <v>43220</v>
      </c>
      <c r="AC23" s="136"/>
    </row>
    <row r="24" spans="2:29" ht="12.75">
      <c r="B24" s="134">
        <f>EDATE(B23,-84)</f>
        <v>40663</v>
      </c>
      <c r="AC24" s="136"/>
    </row>
    <row r="25" spans="2:29" ht="12.75">
      <c r="B25" s="134"/>
      <c r="AC25" s="136"/>
    </row>
    <row r="26" spans="2:29" ht="12.75">
      <c r="B26" s="134"/>
      <c r="AC26" s="136"/>
    </row>
    <row r="27" spans="2:29" ht="12.75">
      <c r="B27" s="134"/>
      <c r="AC27" s="136"/>
    </row>
    <row r="28" ht="12.75">
      <c r="B28" s="134"/>
    </row>
    <row r="29" ht="12.75">
      <c r="B29" s="134"/>
    </row>
    <row r="30" spans="2:4" ht="12.75">
      <c r="B30" s="134"/>
      <c r="C30" s="133" t="s">
        <v>222</v>
      </c>
      <c r="D30" s="133" t="s">
        <v>225</v>
      </c>
    </row>
    <row r="31" spans="2:4" ht="12.75">
      <c r="B31" s="134"/>
      <c r="C31" s="133" t="s">
        <v>223</v>
      </c>
      <c r="D31" s="133" t="s">
        <v>226</v>
      </c>
    </row>
    <row r="32" spans="2:3" ht="12.75">
      <c r="B32" s="134"/>
      <c r="C32" s="133" t="s">
        <v>224</v>
      </c>
    </row>
    <row r="33" spans="1:3" ht="12.75">
      <c r="A33" s="133" t="s">
        <v>221</v>
      </c>
      <c r="B33" s="134"/>
      <c r="C33" s="133">
        <f>Lookup!D47</f>
        <v>0</v>
      </c>
    </row>
    <row r="34" spans="2:3" ht="12.75">
      <c r="B34" s="134"/>
      <c r="C34" s="133">
        <f>Lookup!D46</f>
        <v>0</v>
      </c>
    </row>
    <row r="35" spans="2:3" ht="12.75">
      <c r="B35" s="134"/>
      <c r="C35" s="133">
        <f>Lookup!D45</f>
        <v>0</v>
      </c>
    </row>
    <row r="36" spans="2:3" ht="12.75">
      <c r="B36" s="134"/>
      <c r="C36" s="133">
        <f>Lookup!D44</f>
        <v>0</v>
      </c>
    </row>
    <row r="37" spans="2:3" ht="12.75">
      <c r="B37" s="134"/>
      <c r="C37" s="133">
        <f>Lookup!D43</f>
        <v>0</v>
      </c>
    </row>
    <row r="38" spans="2:3" ht="12.75">
      <c r="B38" s="134"/>
      <c r="C38" s="133">
        <f>Lookup!D42</f>
        <v>0</v>
      </c>
    </row>
    <row r="39" spans="2:3" ht="12.75">
      <c r="B39" s="134"/>
      <c r="C39" s="133">
        <f>Lookup!D41</f>
        <v>0</v>
      </c>
    </row>
    <row r="40" spans="2:3" ht="12.75">
      <c r="B40" s="134"/>
      <c r="C40" s="133">
        <f>Lookup!D40</f>
        <v>0</v>
      </c>
    </row>
    <row r="41" spans="2:3" ht="12.75">
      <c r="B41" s="134"/>
      <c r="C41" s="133">
        <f>Lookup!D39</f>
        <v>0</v>
      </c>
    </row>
    <row r="42" spans="2:3" ht="12.75">
      <c r="B42" s="134"/>
      <c r="C42" s="133">
        <f>Lookup!D38</f>
        <v>0</v>
      </c>
    </row>
    <row r="43" spans="2:3" ht="12.75">
      <c r="B43" s="134"/>
      <c r="C43" s="133">
        <f>Lookup!D37</f>
        <v>0</v>
      </c>
    </row>
    <row r="44" spans="2:3" ht="12.75">
      <c r="B44" s="134"/>
      <c r="C44" s="133">
        <f>Lookup!D36</f>
        <v>0</v>
      </c>
    </row>
    <row r="45" spans="2:3" ht="12.75">
      <c r="B45" s="134"/>
      <c r="C45" s="133">
        <f>Lookup!D35</f>
        <v>0</v>
      </c>
    </row>
    <row r="46" spans="2:3" ht="12.75">
      <c r="B46" s="134"/>
      <c r="C46" s="133">
        <f>Lookup!D34</f>
        <v>0</v>
      </c>
    </row>
    <row r="47" spans="2:3" ht="12.75">
      <c r="B47" s="134"/>
      <c r="C47" s="133">
        <f>Lookup!D33</f>
        <v>0</v>
      </c>
    </row>
    <row r="48" spans="2:3" ht="12.75">
      <c r="B48" s="134"/>
      <c r="C48" s="133">
        <f>Lookup!D32</f>
        <v>0</v>
      </c>
    </row>
    <row r="49" spans="2:4" ht="12.75">
      <c r="B49" s="134"/>
      <c r="C49" s="133">
        <f>Lookup!D31</f>
        <v>0</v>
      </c>
      <c r="D49" s="133">
        <f>D54*D57</f>
        <v>0</v>
      </c>
    </row>
    <row r="50" ht="12.75">
      <c r="B50" s="134"/>
    </row>
    <row r="51" ht="12.75">
      <c r="B51" s="134"/>
    </row>
    <row r="52" spans="2:4" ht="12.75">
      <c r="B52" s="134"/>
      <c r="D52" s="133" t="s">
        <v>227</v>
      </c>
    </row>
    <row r="53" spans="2:4" ht="12.75">
      <c r="B53" s="134"/>
      <c r="D53" s="133" t="s">
        <v>228</v>
      </c>
    </row>
    <row r="54" spans="2:4" ht="12.75">
      <c r="B54" s="134"/>
      <c r="D54" s="143">
        <f>Unused_nil_rate_band_on_first_death</f>
        <v>0</v>
      </c>
    </row>
    <row r="55" ht="12.75">
      <c r="B55" s="134"/>
    </row>
    <row r="56" spans="2:4" ht="12.75">
      <c r="B56" s="134"/>
      <c r="D56" s="133" t="s">
        <v>229</v>
      </c>
    </row>
    <row r="57" spans="2:4" ht="12.75">
      <c r="B57" s="134"/>
      <c r="D57" s="133">
        <f>Lookup!$D$27</f>
        <v>325000</v>
      </c>
    </row>
    <row r="58" spans="2:4" ht="12.75">
      <c r="B58" s="134"/>
      <c r="D58"/>
    </row>
    <row r="59" ht="12.75">
      <c r="B59" s="134"/>
    </row>
    <row r="60" ht="12.75">
      <c r="B60" s="134"/>
    </row>
    <row r="61" ht="12.75">
      <c r="B61" s="134"/>
    </row>
    <row r="62" ht="12.75">
      <c r="B62" s="134"/>
    </row>
    <row r="63" ht="12.75">
      <c r="B63" s="134"/>
    </row>
    <row r="64" ht="12.75">
      <c r="B64" s="134"/>
    </row>
    <row r="65" ht="12.75">
      <c r="B65" s="134"/>
    </row>
    <row r="66" ht="12.75">
      <c r="B66" s="134"/>
    </row>
    <row r="67" ht="12.75">
      <c r="B67" s="134"/>
    </row>
    <row r="68" ht="12.75">
      <c r="B68" s="134"/>
    </row>
    <row r="69" ht="12.75">
      <c r="B69" s="134"/>
    </row>
    <row r="70" ht="12.75">
      <c r="B70" s="134"/>
    </row>
    <row r="71" ht="12.75">
      <c r="B71" s="134"/>
    </row>
    <row r="72" ht="12.75">
      <c r="B72" s="134"/>
    </row>
    <row r="73" ht="12.75">
      <c r="B73" s="134"/>
    </row>
    <row r="74" ht="12.75">
      <c r="B74" s="134"/>
    </row>
    <row r="75" ht="12.75">
      <c r="B75" s="134"/>
    </row>
    <row r="76" ht="12.75">
      <c r="B76" s="134"/>
    </row>
    <row r="77" ht="12.75">
      <c r="B77" s="134"/>
    </row>
    <row r="78" ht="12.75">
      <c r="B78" s="134"/>
    </row>
    <row r="79" ht="12.75">
      <c r="B79" s="134"/>
    </row>
    <row r="80" ht="12.75">
      <c r="B80" s="134"/>
    </row>
    <row r="81" ht="12.75">
      <c r="B81" s="134"/>
    </row>
    <row r="82" ht="12.75">
      <c r="B82" s="134"/>
    </row>
    <row r="83" ht="12.75">
      <c r="B83" s="134"/>
    </row>
    <row r="84" ht="12.75">
      <c r="B84" s="134"/>
    </row>
    <row r="85" ht="12.75">
      <c r="B85" s="134"/>
    </row>
    <row r="86" ht="12.75">
      <c r="B86" s="134"/>
    </row>
    <row r="87" ht="12.75">
      <c r="B87" s="134"/>
    </row>
    <row r="88" ht="12.75">
      <c r="B88" s="134"/>
    </row>
    <row r="89" ht="12.75">
      <c r="B89" s="134"/>
    </row>
    <row r="90" ht="12.75">
      <c r="B90" s="134"/>
    </row>
    <row r="91" ht="12.75">
      <c r="B91" s="134"/>
    </row>
    <row r="92" ht="12.75">
      <c r="B92" s="134"/>
    </row>
    <row r="93" ht="12.75">
      <c r="B93" s="134"/>
    </row>
    <row r="94" ht="12.75">
      <c r="B94" s="134"/>
    </row>
    <row r="95" ht="12.75">
      <c r="B95" s="134"/>
    </row>
    <row r="96" ht="12.75">
      <c r="B96" s="134"/>
    </row>
    <row r="97" ht="12.75">
      <c r="B97" s="134"/>
    </row>
    <row r="98" ht="12.75">
      <c r="B98" s="134"/>
    </row>
    <row r="99" ht="12.75">
      <c r="B99" s="134"/>
    </row>
    <row r="100" ht="12.75">
      <c r="B100" s="134"/>
    </row>
    <row r="101" ht="12.75">
      <c r="B101" s="134"/>
    </row>
    <row r="102" ht="12.75">
      <c r="B102" s="134"/>
    </row>
    <row r="103" ht="12.75">
      <c r="B103" s="134"/>
    </row>
    <row r="104" ht="12.75">
      <c r="B104" s="134"/>
    </row>
    <row r="105" ht="12.75">
      <c r="B105" s="134"/>
    </row>
    <row r="106" ht="12.75">
      <c r="B106" s="134"/>
    </row>
    <row r="107" ht="12.75">
      <c r="B107" s="134"/>
    </row>
    <row r="108" ht="12.75">
      <c r="B108" s="134"/>
    </row>
    <row r="109" ht="12.75">
      <c r="B109" s="134"/>
    </row>
    <row r="110" ht="12.75">
      <c r="B110" s="134"/>
    </row>
    <row r="111" ht="12.75">
      <c r="B111" s="134"/>
    </row>
    <row r="112" ht="12.75">
      <c r="B112" s="134"/>
    </row>
    <row r="113" ht="12.75">
      <c r="B113" s="134"/>
    </row>
    <row r="114" ht="12.75">
      <c r="B114" s="134"/>
    </row>
    <row r="115" ht="12.75">
      <c r="B115" s="134"/>
    </row>
    <row r="116" ht="12.75">
      <c r="B116" s="134"/>
    </row>
    <row r="117" ht="12.75">
      <c r="B117" s="134"/>
    </row>
    <row r="118" ht="12.75">
      <c r="B118" s="134"/>
    </row>
    <row r="119" ht="12.75">
      <c r="B119" s="134"/>
    </row>
    <row r="120" ht="12.75">
      <c r="B120" s="134"/>
    </row>
    <row r="121" ht="12.75">
      <c r="B121" s="134"/>
    </row>
    <row r="122" ht="12.75">
      <c r="B122" s="134"/>
    </row>
    <row r="123" ht="12.75">
      <c r="B123" s="134"/>
    </row>
    <row r="124" ht="12.75">
      <c r="B124" s="134"/>
    </row>
    <row r="125" ht="12.75">
      <c r="B125" s="134"/>
    </row>
    <row r="126" ht="12.75">
      <c r="B126" s="134"/>
    </row>
    <row r="127" ht="12.75">
      <c r="B127" s="134"/>
    </row>
    <row r="128" ht="12.75">
      <c r="B128" s="134"/>
    </row>
    <row r="129" ht="12.75">
      <c r="B129" s="134"/>
    </row>
    <row r="130" ht="12.75">
      <c r="B130" s="134"/>
    </row>
  </sheetData>
  <sheetProtection/>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sheetPr codeName="Sheet6">
    <pageSetUpPr fitToPage="1"/>
  </sheetPr>
  <dimension ref="A3:N75"/>
  <sheetViews>
    <sheetView showGridLines="0" showRowColHeaders="0" showZeros="0" showOutlineSymbols="0" zoomScalePageLayoutView="0" workbookViewId="0" topLeftCell="A1">
      <selection activeCell="A4" sqref="A4"/>
    </sheetView>
  </sheetViews>
  <sheetFormatPr defaultColWidth="9.00390625" defaultRowHeight="12.75"/>
  <cols>
    <col min="1" max="1" width="4.625" style="0" customWidth="1"/>
    <col min="2" max="2" width="95.125" style="0" customWidth="1"/>
    <col min="3" max="4" width="5.00390625" style="0" customWidth="1"/>
    <col min="5" max="5" width="15.00390625" style="0" customWidth="1"/>
    <col min="6" max="6" width="3.50390625" style="0" customWidth="1"/>
    <col min="7" max="7" width="15.00390625" style="0" customWidth="1"/>
    <col min="8" max="8" width="3.50390625" style="0" customWidth="1"/>
    <col min="9" max="9" width="15.125" style="0" customWidth="1"/>
    <col min="10" max="11" width="3.50390625" style="0" customWidth="1"/>
    <col min="14" max="14" width="0" style="0" hidden="1" customWidth="1"/>
  </cols>
  <sheetData>
    <row r="3" spans="2:9" ht="12.75">
      <c r="B3" s="1"/>
      <c r="E3" s="2"/>
      <c r="G3" s="2"/>
      <c r="I3" s="2"/>
    </row>
    <row r="4" spans="2:9" ht="14.25" customHeight="1">
      <c r="B4" s="3" t="s">
        <v>130</v>
      </c>
      <c r="E4" s="2"/>
      <c r="G4" s="2" t="s">
        <v>131</v>
      </c>
      <c r="I4" s="2"/>
    </row>
    <row r="5" spans="2:7" ht="12.75">
      <c r="B5" s="1"/>
      <c r="E5" s="2" t="s">
        <v>132</v>
      </c>
      <c r="G5" s="2" t="s">
        <v>37</v>
      </c>
    </row>
    <row r="6" ht="4.5" customHeight="1" thickBot="1"/>
    <row r="7" spans="2:5" ht="13.5" thickBot="1">
      <c r="B7" s="87" t="s">
        <v>133</v>
      </c>
      <c r="E7" s="100">
        <f>IF(orderOfDeath=2,TotalGrossEstate,TotalGrossEstate-Estate!F49-Estate!F71)</f>
        <v>2100000</v>
      </c>
    </row>
    <row r="8" ht="4.5" customHeight="1" thickBot="1">
      <c r="E8" s="103"/>
    </row>
    <row r="9" spans="2:5" ht="13.5" thickBot="1">
      <c r="B9" s="76" t="s">
        <v>134</v>
      </c>
      <c r="E9" s="100">
        <f>assetsintrustestate</f>
        <v>0</v>
      </c>
    </row>
    <row r="10" ht="4.5" customHeight="1" thickBot="1">
      <c r="E10" s="103"/>
    </row>
    <row r="11" spans="2:5" ht="13.5" thickBot="1">
      <c r="B11" s="76" t="s">
        <v>135</v>
      </c>
      <c r="E11" s="108">
        <f>memoaprbpr</f>
        <v>0</v>
      </c>
    </row>
    <row r="12" ht="4.5" customHeight="1" thickBot="1">
      <c r="E12" s="103"/>
    </row>
    <row r="13" spans="2:9" ht="13.5" thickBot="1">
      <c r="B13" s="76" t="s">
        <v>136</v>
      </c>
      <c r="E13" s="100">
        <f>SUM(E7:E12)</f>
        <v>2100000</v>
      </c>
      <c r="G13" s="102">
        <f>ROUND(IF('Tax Payable'!C8-'Death Chargeable Gifts'!Q45&gt;0,'Tax Payable'!C8-'Death Chargeable Gifts'!Q45,0),0)</f>
        <v>325000</v>
      </c>
      <c r="H13" s="103"/>
      <c r="I13" s="103"/>
    </row>
    <row r="14" spans="5:9" ht="18.75" customHeight="1" thickBot="1">
      <c r="E14" s="103"/>
      <c r="G14" s="103"/>
      <c r="H14" s="103"/>
      <c r="I14" s="101"/>
    </row>
    <row r="15" spans="2:9" ht="13.5" thickBot="1">
      <c r="B15" s="87" t="s">
        <v>137</v>
      </c>
      <c r="E15" s="109" t="s">
        <v>138</v>
      </c>
      <c r="G15" s="109" t="s">
        <v>139</v>
      </c>
      <c r="H15" s="103"/>
      <c r="I15" s="109" t="s">
        <v>140</v>
      </c>
    </row>
    <row r="16" spans="5:9" ht="4.5" customHeight="1" thickBot="1">
      <c r="E16" s="103"/>
      <c r="G16" s="103"/>
      <c r="H16" s="103"/>
      <c r="I16" s="101"/>
    </row>
    <row r="17" spans="2:9" ht="13.5" thickBot="1">
      <c r="B17" s="15" t="s">
        <v>32</v>
      </c>
      <c r="E17" s="108">
        <v>0</v>
      </c>
      <c r="G17" s="100">
        <f>IF(G$55&gt;0,(G$55*E17/E$55),0)</f>
        <v>0</v>
      </c>
      <c r="H17" s="103"/>
      <c r="I17" s="100">
        <f>E17-G17</f>
        <v>0</v>
      </c>
    </row>
    <row r="18" spans="5:9" ht="4.5" customHeight="1" thickBot="1">
      <c r="E18" s="103"/>
      <c r="G18" s="103"/>
      <c r="H18" s="103"/>
      <c r="I18" s="101"/>
    </row>
    <row r="19" spans="2:9" ht="13.5" thickBot="1">
      <c r="B19" s="15"/>
      <c r="E19" s="108">
        <v>0</v>
      </c>
      <c r="G19" s="100">
        <f>IF(G$55&gt;0,(G$55*E19/E$55),0)</f>
        <v>0</v>
      </c>
      <c r="H19" s="103"/>
      <c r="I19" s="100">
        <f>E19-G19</f>
        <v>0</v>
      </c>
    </row>
    <row r="20" spans="5:9" ht="4.5" customHeight="1" thickBot="1">
      <c r="E20" s="103"/>
      <c r="G20" s="103"/>
      <c r="H20" s="103"/>
      <c r="I20" s="101"/>
    </row>
    <row r="21" spans="2:9" ht="13.5" thickBot="1">
      <c r="B21" s="15"/>
      <c r="E21" s="108">
        <v>0</v>
      </c>
      <c r="G21" s="100">
        <f>IF(G$55&gt;0,(G$55*E21/E$55),0)</f>
        <v>0</v>
      </c>
      <c r="H21" s="103"/>
      <c r="I21" s="100">
        <f>E21-G21</f>
        <v>0</v>
      </c>
    </row>
    <row r="22" spans="5:9" ht="4.5" customHeight="1" thickBot="1">
      <c r="E22" s="103"/>
      <c r="G22" s="103"/>
      <c r="H22" s="103"/>
      <c r="I22" s="101"/>
    </row>
    <row r="23" spans="2:9" ht="13.5" thickBot="1">
      <c r="B23" s="15"/>
      <c r="E23" s="108">
        <v>0</v>
      </c>
      <c r="G23" s="100">
        <f>IF(G$55&gt;0,(G$55*E23/E$55),0)</f>
        <v>0</v>
      </c>
      <c r="H23" s="103"/>
      <c r="I23" s="100">
        <f>E23-G23</f>
        <v>0</v>
      </c>
    </row>
    <row r="24" spans="5:9" ht="4.5" customHeight="1" hidden="1">
      <c r="E24" s="103"/>
      <c r="G24" s="103"/>
      <c r="H24" s="103"/>
      <c r="I24" s="101"/>
    </row>
    <row r="25" spans="5:9" ht="4.5" customHeight="1" hidden="1">
      <c r="E25" s="103"/>
      <c r="G25" s="103"/>
      <c r="H25" s="103"/>
      <c r="I25" s="101"/>
    </row>
    <row r="26" spans="5:9" ht="4.5" customHeight="1" thickBot="1">
      <c r="E26" s="103"/>
      <c r="G26" s="103"/>
      <c r="H26" s="103"/>
      <c r="I26" s="101"/>
    </row>
    <row r="27" spans="2:9" ht="13.5" thickBot="1">
      <c r="B27" s="87" t="s">
        <v>141</v>
      </c>
      <c r="C27" s="127">
        <f>IF('Hypothetical Tax Calc'!D27&lt;0,"The tax free lagacies cannot be paid in full as the estate has insufficient funds to cover the tax liability","")</f>
      </c>
      <c r="E27" s="103"/>
      <c r="G27" s="103"/>
      <c r="H27" s="103"/>
      <c r="I27" s="103"/>
    </row>
    <row r="28" spans="5:9" ht="4.5" customHeight="1" thickBot="1">
      <c r="E28" s="103"/>
      <c r="G28" s="103"/>
      <c r="H28" s="103"/>
      <c r="I28" s="101"/>
    </row>
    <row r="29" spans="2:9" ht="13.5" thickBot="1">
      <c r="B29" s="76" t="s">
        <v>142</v>
      </c>
      <c r="E29" s="108"/>
      <c r="G29" s="100">
        <f>IF(G$55&gt;0,(G$55*E29/E$55),0)</f>
        <v>0</v>
      </c>
      <c r="H29" s="103"/>
      <c r="I29" s="100">
        <f>E29-G29</f>
        <v>0</v>
      </c>
    </row>
    <row r="30" spans="5:9" ht="4.5" customHeight="1" thickBot="1">
      <c r="E30" s="103">
        <v>0</v>
      </c>
      <c r="G30" s="103"/>
      <c r="H30" s="103"/>
      <c r="I30" s="101"/>
    </row>
    <row r="31" spans="2:9" ht="13.5" thickBot="1">
      <c r="B31" s="76" t="s">
        <v>143</v>
      </c>
      <c r="E31" s="108">
        <v>0</v>
      </c>
      <c r="G31" s="100">
        <f>IF(G$55&gt;0,(G$55*E31/E$55),0)</f>
        <v>0</v>
      </c>
      <c r="H31" s="103"/>
      <c r="I31" s="100">
        <f>E31-G31</f>
        <v>0</v>
      </c>
    </row>
    <row r="32" spans="5:9" ht="4.5" customHeight="1" thickBot="1">
      <c r="E32" s="103"/>
      <c r="G32" s="103"/>
      <c r="H32" s="103"/>
      <c r="I32" s="101"/>
    </row>
    <row r="33" spans="2:9" ht="13.5" thickBot="1">
      <c r="B33" s="15" t="s">
        <v>32</v>
      </c>
      <c r="E33" s="108"/>
      <c r="G33" s="100">
        <f>IF(G$55&gt;0,(G$55*E33/E$55),0)</f>
        <v>0</v>
      </c>
      <c r="H33" s="103"/>
      <c r="I33" s="100">
        <f>E33-G33</f>
        <v>0</v>
      </c>
    </row>
    <row r="34" spans="5:9" ht="4.5" customHeight="1" thickBot="1">
      <c r="E34" s="103"/>
      <c r="G34" s="103"/>
      <c r="H34" s="103"/>
      <c r="I34" s="101"/>
    </row>
    <row r="35" spans="2:9" ht="13.5" thickBot="1">
      <c r="B35" s="15" t="s">
        <v>32</v>
      </c>
      <c r="E35" s="108">
        <v>0</v>
      </c>
      <c r="G35" s="100">
        <f>IF(G$55&gt;0,(G$55*E35/E$55),0)</f>
        <v>0</v>
      </c>
      <c r="H35" s="103"/>
      <c r="I35" s="100">
        <f>E35-G35</f>
        <v>0</v>
      </c>
    </row>
    <row r="36" spans="5:9" ht="4.5" customHeight="1" thickBot="1">
      <c r="E36" s="103"/>
      <c r="G36" s="103"/>
      <c r="H36" s="103"/>
      <c r="I36" s="101"/>
    </row>
    <row r="37" spans="2:9" ht="13.5" thickBot="1">
      <c r="B37" s="15"/>
      <c r="E37" s="108">
        <v>0</v>
      </c>
      <c r="G37" s="100">
        <f>IF(G$55&gt;0,(G$55*E37/E$55),0)</f>
        <v>0</v>
      </c>
      <c r="H37" s="103"/>
      <c r="I37" s="100">
        <f>E37-G37</f>
        <v>0</v>
      </c>
    </row>
    <row r="38" spans="5:9" ht="4.5" customHeight="1" thickBot="1">
      <c r="E38" s="103"/>
      <c r="G38" s="103"/>
      <c r="H38" s="103"/>
      <c r="I38" s="101"/>
    </row>
    <row r="39" spans="2:9" ht="13.5" thickBot="1">
      <c r="B39" s="15"/>
      <c r="E39" s="108">
        <v>0</v>
      </c>
      <c r="G39" s="100">
        <f>IF(G$55&gt;0,(G$55*E39/E$55),0)</f>
        <v>0</v>
      </c>
      <c r="H39" s="103"/>
      <c r="I39" s="100">
        <f>E39-G39</f>
        <v>0</v>
      </c>
    </row>
    <row r="40" spans="5:9" ht="4.5" customHeight="1" thickBot="1">
      <c r="E40" s="103"/>
      <c r="G40" s="103"/>
      <c r="H40" s="103"/>
      <c r="I40" s="101"/>
    </row>
    <row r="41" spans="2:9" ht="13.5" thickBot="1">
      <c r="B41" s="15"/>
      <c r="E41" s="108">
        <v>0</v>
      </c>
      <c r="G41" s="100">
        <f>IF(G$55&gt;0,(G$55*E41/E$55),0)</f>
        <v>0</v>
      </c>
      <c r="H41" s="103"/>
      <c r="I41" s="100">
        <f>E41-G41</f>
        <v>0</v>
      </c>
    </row>
    <row r="42" spans="5:9" ht="4.5" customHeight="1" thickBot="1">
      <c r="E42" s="103"/>
      <c r="G42" s="103"/>
      <c r="H42" s="103"/>
      <c r="I42" s="101"/>
    </row>
    <row r="43" spans="2:14" ht="13.5" thickBot="1">
      <c r="B43" s="15"/>
      <c r="E43" s="108">
        <v>0</v>
      </c>
      <c r="G43" s="100">
        <f>IF(G$55&gt;0,(G$55*E43/E$55),0)</f>
        <v>0</v>
      </c>
      <c r="H43" s="103"/>
      <c r="I43" s="100">
        <f>E43-G43</f>
        <v>0</v>
      </c>
      <c r="N43" s="121">
        <f>SUM(E17:E43)</f>
        <v>0</v>
      </c>
    </row>
    <row r="44" spans="5:9" ht="4.5" customHeight="1" thickBot="1">
      <c r="E44" s="103"/>
      <c r="G44" s="103"/>
      <c r="H44" s="103"/>
      <c r="I44" s="101"/>
    </row>
    <row r="45" spans="2:9" ht="13.5" thickBot="1">
      <c r="B45" s="87" t="s">
        <v>144</v>
      </c>
      <c r="C45" s="19" t="s">
        <v>182</v>
      </c>
      <c r="E45" s="100">
        <f>E13-E9-SUM(E17:E44)</f>
        <v>2100000</v>
      </c>
      <c r="G45" s="103"/>
      <c r="H45" s="103"/>
      <c r="I45" s="103"/>
    </row>
    <row r="46" spans="5:9" ht="4.5" customHeight="1" thickBot="1">
      <c r="E46" s="103"/>
      <c r="G46" s="103"/>
      <c r="H46" s="103"/>
      <c r="I46" s="101"/>
    </row>
    <row r="47" spans="2:9" ht="13.5" thickBot="1">
      <c r="B47" s="76" t="s">
        <v>181</v>
      </c>
      <c r="D47" s="55">
        <v>0</v>
      </c>
      <c r="E47" s="108">
        <f>IF($E$45&gt;0,$D47/100*$E$45,"")</f>
        <v>0</v>
      </c>
      <c r="G47" s="100">
        <f>IF(G$55&gt;0,(G$55*E47/E$55),0)</f>
        <v>0</v>
      </c>
      <c r="H47" s="103"/>
      <c r="I47" s="100">
        <f>E47-G47</f>
        <v>0</v>
      </c>
    </row>
    <row r="48" spans="4:9" ht="4.5" customHeight="1" thickBot="1">
      <c r="D48" s="55"/>
      <c r="E48" s="103"/>
      <c r="G48" s="103"/>
      <c r="H48" s="103"/>
      <c r="I48" s="101"/>
    </row>
    <row r="49" spans="2:9" ht="13.5" thickBot="1">
      <c r="B49" s="15" t="s">
        <v>230</v>
      </c>
      <c r="D49" s="55">
        <v>100</v>
      </c>
      <c r="E49" s="108">
        <f>IF($E$45&gt;0,$D49/100*$E$45,"")</f>
        <v>2100000</v>
      </c>
      <c r="G49" s="100">
        <f>IF(G$55&gt;0,(G$55*E49/E$55),0)</f>
        <v>0</v>
      </c>
      <c r="H49" s="103"/>
      <c r="I49" s="100">
        <f>E49-G49</f>
        <v>2100000</v>
      </c>
    </row>
    <row r="50" spans="4:9" ht="4.5" customHeight="1" thickBot="1">
      <c r="D50" s="55"/>
      <c r="E50" s="103"/>
      <c r="G50" s="103"/>
      <c r="H50" s="103"/>
      <c r="I50" s="101"/>
    </row>
    <row r="51" spans="2:9" ht="13.5" thickBot="1">
      <c r="B51" s="15"/>
      <c r="D51" s="55">
        <v>0</v>
      </c>
      <c r="E51" s="108">
        <f>IF($E$45&gt;0,$D51/100*$E$45,"")</f>
        <v>0</v>
      </c>
      <c r="G51" s="100">
        <f>IF(G$55&gt;0,(G$55*E51/E$55),0)</f>
        <v>0</v>
      </c>
      <c r="H51" s="103"/>
      <c r="I51" s="100">
        <f>E51-G51</f>
        <v>0</v>
      </c>
    </row>
    <row r="52" spans="4:9" ht="4.5" customHeight="1" thickBot="1">
      <c r="D52" s="55"/>
      <c r="E52" s="103"/>
      <c r="G52" s="103"/>
      <c r="H52" s="103"/>
      <c r="I52" s="101"/>
    </row>
    <row r="53" spans="2:9" ht="13.5" thickBot="1">
      <c r="B53" s="15"/>
      <c r="D53" s="55">
        <v>0</v>
      </c>
      <c r="E53" s="108">
        <f>IF($E$45&gt;0,$D53/100*$E$45,"")</f>
        <v>0</v>
      </c>
      <c r="G53" s="100">
        <f>IF(G$55&gt;0,(G$55*E53/E$55),0)</f>
        <v>0</v>
      </c>
      <c r="H53" s="103"/>
      <c r="I53" s="100">
        <f>E53-G53</f>
        <v>0</v>
      </c>
    </row>
    <row r="54" spans="5:9" ht="4.5" customHeight="1" thickBot="1">
      <c r="E54" s="103"/>
      <c r="G54" s="103"/>
      <c r="H54" s="103"/>
      <c r="I54" s="101"/>
    </row>
    <row r="55" spans="2:9" ht="13.5" thickBot="1">
      <c r="B55" s="76" t="s">
        <v>133</v>
      </c>
      <c r="E55" s="100">
        <f>SUM(E17:E53)-E45</f>
        <v>2100000</v>
      </c>
      <c r="G55" s="100">
        <f>E11</f>
        <v>0</v>
      </c>
      <c r="H55" s="103"/>
      <c r="I55" s="102">
        <f>SUM(I7:I53)</f>
        <v>2100000</v>
      </c>
    </row>
    <row r="56" spans="5:9" ht="4.5" customHeight="1" thickBot="1">
      <c r="E56" s="103"/>
      <c r="G56" s="103"/>
      <c r="H56" s="103"/>
      <c r="I56" s="101"/>
    </row>
    <row r="57" spans="2:11" ht="13.5" thickBot="1">
      <c r="B57" s="76" t="s">
        <v>134</v>
      </c>
      <c r="E57" s="100">
        <f>E9</f>
        <v>0</v>
      </c>
      <c r="G57" s="110"/>
      <c r="H57" s="111"/>
      <c r="I57" s="110"/>
      <c r="J57" s="1"/>
      <c r="K57" s="1"/>
    </row>
    <row r="58" spans="5:9" ht="4.5" customHeight="1" thickBot="1">
      <c r="E58" s="103"/>
      <c r="G58" s="103"/>
      <c r="H58" s="103"/>
      <c r="I58" s="101"/>
    </row>
    <row r="59" spans="2:11" ht="13.5" thickBot="1">
      <c r="B59" t="s">
        <v>32</v>
      </c>
      <c r="D59">
        <f>SUM(D46:D58)</f>
        <v>100</v>
      </c>
      <c r="E59" s="100">
        <f>SUM(E55:E58)</f>
        <v>2100000</v>
      </c>
      <c r="G59" s="110"/>
      <c r="H59" s="111"/>
      <c r="I59" s="110"/>
      <c r="J59" s="1"/>
      <c r="K59" s="1"/>
    </row>
    <row r="60" spans="5:9" ht="4.5" customHeight="1">
      <c r="E60" s="103"/>
      <c r="I60" s="21"/>
    </row>
    <row r="61" spans="2:11" ht="12.75">
      <c r="B61" s="88">
        <f>IF(E63="error","You need to change the distribution of the residue","")</f>
      </c>
      <c r="E61" s="103"/>
      <c r="G61" s="77">
        <f>IF(E11=G55,"","ERROR")</f>
      </c>
      <c r="H61" s="1"/>
      <c r="I61" s="77">
        <f>IF(E13-E9-E11=I55,"","ERROR")</f>
      </c>
      <c r="J61" s="1"/>
      <c r="K61" s="1"/>
    </row>
    <row r="62" spans="2:5" ht="4.5" customHeight="1">
      <c r="B62" t="s">
        <v>32</v>
      </c>
      <c r="E62" s="103"/>
    </row>
    <row r="63" spans="2:5" ht="12.75">
      <c r="B63" s="88">
        <f>IF(D59&lt;&gt;100,"Warning-% is NOT 100%","")</f>
      </c>
      <c r="E63" s="123">
        <f>IF($E$13-$E$9=$E$55,"","ERROR")</f>
      </c>
    </row>
    <row r="64" ht="4.5" customHeight="1">
      <c r="E64" s="103"/>
    </row>
    <row r="65" spans="2:5" ht="12.75">
      <c r="B65" s="88">
        <f>IF(specificLegacies&gt;soleassets,"WARNING - specific legacies exceed funds in sole name","")</f>
      </c>
      <c r="E65" s="103"/>
    </row>
    <row r="66" ht="4.5" customHeight="1">
      <c r="E66" s="103"/>
    </row>
    <row r="67" spans="2:5" ht="12.75">
      <c r="B67" s="19" t="s">
        <v>54</v>
      </c>
      <c r="E67" s="103"/>
    </row>
    <row r="68" ht="4.5" customHeight="1">
      <c r="E68" s="103"/>
    </row>
    <row r="69" spans="2:5" ht="12.75">
      <c r="B69" t="s">
        <v>183</v>
      </c>
      <c r="E69" s="103"/>
    </row>
    <row r="70" ht="4.5" customHeight="1">
      <c r="E70" s="103"/>
    </row>
    <row r="71" spans="2:5" ht="12.75">
      <c r="B71" t="s">
        <v>191</v>
      </c>
      <c r="E71" s="103"/>
    </row>
    <row r="72" ht="4.5" customHeight="1">
      <c r="E72" s="103"/>
    </row>
    <row r="74" ht="4.5" customHeight="1"/>
    <row r="75" ht="12.75">
      <c r="A75" s="29"/>
    </row>
    <row r="76" ht="4.5" customHeight="1"/>
  </sheetData>
  <sheetProtection password="EEC4" sheet="1" objects="1" scenarios="1"/>
  <printOptions horizontalCentered="1" verticalCentered="1"/>
  <pageMargins left="0.1968503937007874" right="0.1968503937007874" top="0.984251968503937" bottom="0.984251968503937" header="0.5118110236220472" footer="0.5118110236220472"/>
  <pageSetup fitToHeight="1" fitToWidth="1" horizontalDpi="600" verticalDpi="600" orientation="portrait" paperSize="9" scale="62" r:id="rId3"/>
  <legacyDrawing r:id="rId2"/>
</worksheet>
</file>

<file path=xl/worksheets/sheet12.xml><?xml version="1.0" encoding="utf-8"?>
<worksheet xmlns="http://schemas.openxmlformats.org/spreadsheetml/2006/main" xmlns:r="http://schemas.openxmlformats.org/officeDocument/2006/relationships">
  <sheetPr codeName="Sheet8">
    <pageSetUpPr fitToPage="1"/>
  </sheetPr>
  <dimension ref="B1:J91"/>
  <sheetViews>
    <sheetView showGridLines="0" showRowColHeaders="0" showZeros="0" showOutlineSymbols="0" zoomScale="85" zoomScaleNormal="85" zoomScalePageLayoutView="0" workbookViewId="0" topLeftCell="A1">
      <selection activeCell="A2" sqref="A2"/>
    </sheetView>
  </sheetViews>
  <sheetFormatPr defaultColWidth="9.00390625" defaultRowHeight="12.75"/>
  <cols>
    <col min="1" max="1" width="4.625" style="0" customWidth="1"/>
    <col min="2" max="2" width="95.125" style="0" customWidth="1"/>
    <col min="3" max="3" width="3.50390625" style="0" customWidth="1"/>
    <col min="4" max="4" width="15.00390625" style="0" customWidth="1"/>
    <col min="5" max="5" width="3.50390625" style="0" customWidth="1"/>
    <col min="6" max="6" width="15.00390625" style="0" customWidth="1"/>
    <col min="7" max="7" width="3.50390625" style="0" customWidth="1"/>
    <col min="8" max="8" width="15.125" style="0" customWidth="1"/>
    <col min="10" max="10" width="11.125" style="0" bestFit="1" customWidth="1"/>
  </cols>
  <sheetData>
    <row r="1" spans="2:8" ht="21" customHeight="1">
      <c r="B1" s="1"/>
      <c r="C1" s="84" t="s">
        <v>32</v>
      </c>
      <c r="D1" s="84" t="s">
        <v>163</v>
      </c>
      <c r="E1" s="84"/>
      <c r="F1" s="84"/>
      <c r="H1" s="2"/>
    </row>
    <row r="2" spans="2:8" ht="14.25" customHeight="1">
      <c r="B2" s="3" t="s">
        <v>145</v>
      </c>
      <c r="D2" s="2"/>
      <c r="F2" s="2" t="s">
        <v>131</v>
      </c>
      <c r="H2" s="2"/>
    </row>
    <row r="3" spans="2:6" ht="12.75">
      <c r="B3" s="1"/>
      <c r="D3" s="2" t="s">
        <v>132</v>
      </c>
      <c r="F3" s="2" t="s">
        <v>37</v>
      </c>
    </row>
    <row r="4" ht="4.5" customHeight="1" thickBot="1"/>
    <row r="5" spans="2:4" ht="13.5" thickBot="1">
      <c r="B5" s="76" t="s">
        <v>133</v>
      </c>
      <c r="D5" s="24">
        <f>Will!E7</f>
        <v>2100000</v>
      </c>
    </row>
    <row r="6" ht="4.5" customHeight="1" thickBot="1"/>
    <row r="7" spans="2:4" ht="13.5" thickBot="1">
      <c r="B7" s="76" t="s">
        <v>134</v>
      </c>
      <c r="D7" s="24">
        <f>Will!E9</f>
        <v>0</v>
      </c>
    </row>
    <row r="8" ht="4.5" customHeight="1" thickBot="1"/>
    <row r="9" ht="13.5" thickBot="1">
      <c r="B9" s="76" t="s">
        <v>135</v>
      </c>
    </row>
    <row r="10" ht="4.5" customHeight="1" thickBot="1"/>
    <row r="11" spans="2:6" ht="13.5" thickBot="1">
      <c r="B11" s="76" t="s">
        <v>136</v>
      </c>
      <c r="D11" s="24">
        <f>SUM(D5:D10)</f>
        <v>2100000</v>
      </c>
      <c r="F11" s="27">
        <f>ROUND(IF('Tax Payable'!C8-'Death Chargeable Gifts'!Q45&gt;0,'Tax Payable'!C8-'Death Chargeable Gifts'!Q45,0),0)</f>
        <v>325000</v>
      </c>
    </row>
    <row r="12" ht="18.75" customHeight="1" thickBot="1">
      <c r="H12" s="21"/>
    </row>
    <row r="13" spans="2:8" ht="13.5" thickBot="1">
      <c r="B13" s="76" t="s">
        <v>137</v>
      </c>
      <c r="D13" s="2" t="s">
        <v>146</v>
      </c>
      <c r="F13" s="2" t="s">
        <v>147</v>
      </c>
      <c r="H13" s="2" t="s">
        <v>148</v>
      </c>
    </row>
    <row r="14" ht="4.5" customHeight="1" thickBot="1">
      <c r="H14" s="21"/>
    </row>
    <row r="15" spans="2:8" ht="13.5" thickBot="1">
      <c r="B15" s="78" t="str">
        <f>IF(Will!B17=0,"",Will!B17)</f>
        <v> </v>
      </c>
      <c r="D15" s="78">
        <f>IF(Will!I17=0,0,Will!I17)</f>
        <v>0</v>
      </c>
      <c r="F15" s="24">
        <f>IF(F$23&gt;0,(F$23*D15/D$23),0)</f>
        <v>0</v>
      </c>
      <c r="H15" s="24">
        <f>IF(H$23&gt;0,(H$23*F15/F$23),0)</f>
        <v>0</v>
      </c>
    </row>
    <row r="16" ht="4.5" customHeight="1" thickBot="1"/>
    <row r="17" spans="2:8" ht="13.5" thickBot="1">
      <c r="B17" s="78">
        <f>IF(Will!B19=0,"",Will!B19)</f>
      </c>
      <c r="D17" s="78">
        <f>IF(Will!I19=0,0,Will!I19)</f>
        <v>0</v>
      </c>
      <c r="F17" s="24">
        <f>IF(F$23&gt;0,(F$23*D17/D$23),0)</f>
        <v>0</v>
      </c>
      <c r="H17" s="24">
        <f>IF(H$23&gt;0,(H$23*F17/F$23),0)</f>
        <v>0</v>
      </c>
    </row>
    <row r="18" ht="4.5" customHeight="1" thickBot="1"/>
    <row r="19" spans="2:8" ht="13.5" thickBot="1">
      <c r="B19" s="78">
        <f>IF(Will!B21=0,"",Will!B21)</f>
      </c>
      <c r="D19" s="78">
        <f>IF(Will!I21=0,0,Will!I21)</f>
        <v>0</v>
      </c>
      <c r="F19" s="24">
        <f>IF(F$23&gt;0,(F$23*D19/D$23),0)</f>
        <v>0</v>
      </c>
      <c r="H19" s="24">
        <f>IF(H$23&gt;0,(H$23*F19/F$23),0)</f>
        <v>0</v>
      </c>
    </row>
    <row r="20" ht="4.5" customHeight="1" thickBot="1"/>
    <row r="21" spans="2:8" ht="13.5" thickBot="1">
      <c r="B21" s="78">
        <f>IF(Will!B23=0,"",Will!B23)</f>
      </c>
      <c r="D21" s="78">
        <f>IF(Will!I23=0,0,Will!I23)</f>
        <v>0</v>
      </c>
      <c r="F21" s="24">
        <f>IF(F$23&gt;0,(F$23*D21/D$23),0)</f>
        <v>0</v>
      </c>
      <c r="H21" s="24">
        <f>IF(H$23&gt;0,(H$23*F21/F$23),0)</f>
        <v>0</v>
      </c>
    </row>
    <row r="22" ht="4.5" customHeight="1" thickBot="1">
      <c r="H22" s="21"/>
    </row>
    <row r="23" spans="4:8" ht="13.5" thickBot="1">
      <c r="D23" s="24">
        <f>SUM(D15:D22)</f>
        <v>0</v>
      </c>
      <c r="F23" s="24">
        <f>D77</f>
        <v>0</v>
      </c>
      <c r="H23" s="24">
        <f>F23*F75</f>
        <v>0</v>
      </c>
    </row>
    <row r="24" ht="4.5" customHeight="1" thickBot="1">
      <c r="H24" s="21"/>
    </row>
    <row r="25" spans="2:6" ht="13.5" thickBot="1">
      <c r="B25" s="76" t="s">
        <v>149</v>
      </c>
      <c r="D25" s="24">
        <f>IF(D23-F11&lt;0,0,(D23-F11)*2/3)</f>
        <v>0</v>
      </c>
      <c r="F25" s="79"/>
    </row>
    <row r="26" ht="4.5" customHeight="1" thickBot="1">
      <c r="H26" s="21"/>
    </row>
    <row r="27" spans="2:6" ht="13.5" thickBot="1">
      <c r="B27" s="76" t="s">
        <v>150</v>
      </c>
      <c r="D27" s="24">
        <f>D5-D23-D25</f>
        <v>2100000</v>
      </c>
      <c r="F27" s="24">
        <f>IF(D11-D7-F23&gt;0,D11-D7-F23,0)</f>
        <v>2100000</v>
      </c>
    </row>
    <row r="28" ht="4.5" customHeight="1" thickBot="1">
      <c r="H28" s="21"/>
    </row>
    <row r="29" spans="2:8" ht="13.5" thickBot="1">
      <c r="B29" s="78" t="str">
        <f>IF(Will!B29=0,"",Will!B29)</f>
        <v>Charities and other exempt legacies</v>
      </c>
      <c r="D29" s="78">
        <f>IF(Will!I29=0,0,Will!I29)</f>
        <v>0</v>
      </c>
      <c r="F29" s="78">
        <f>IF(Will!I29=0,0,Will!I29)</f>
        <v>0</v>
      </c>
      <c r="H29" s="80"/>
    </row>
    <row r="30" ht="4.5" customHeight="1" thickBot="1">
      <c r="H30" s="21"/>
    </row>
    <row r="31" spans="2:8" ht="13.5" thickBot="1">
      <c r="B31" s="78" t="str">
        <f>IF(Will!B31=0,"",Will!B31)</f>
        <v>Real estate, chattels and other specific assets to spouse</v>
      </c>
      <c r="D31" s="78">
        <f>IF(Will!I31=0,0,Will!I31)</f>
        <v>0</v>
      </c>
      <c r="F31" s="78">
        <f>IF(Will!I31=0,0,Will!I31)</f>
        <v>0</v>
      </c>
      <c r="H31" s="80"/>
    </row>
    <row r="32" ht="4.5" customHeight="1" thickBot="1">
      <c r="H32" s="21"/>
    </row>
    <row r="33" spans="2:8" ht="13.5" thickBot="1">
      <c r="B33" s="78" t="str">
        <f>IF(Will!B33=0,"",Will!B33)</f>
        <v> </v>
      </c>
      <c r="D33" s="78">
        <f>IF(Will!I33=0,0,Will!I33)</f>
        <v>0</v>
      </c>
      <c r="F33" s="78">
        <f>IF(Will!I33=0,0,Will!I33)</f>
        <v>0</v>
      </c>
      <c r="H33" s="24">
        <f>F33*F$75</f>
        <v>0</v>
      </c>
    </row>
    <row r="34" ht="4.5" customHeight="1" thickBot="1">
      <c r="H34" s="21"/>
    </row>
    <row r="35" spans="2:8" ht="13.5" thickBot="1">
      <c r="B35" s="78" t="str">
        <f>IF(Will!B35=0,"",Will!B35)</f>
        <v> </v>
      </c>
      <c r="D35" s="78">
        <f>IF(Will!I35=0,0,Will!I35)</f>
        <v>0</v>
      </c>
      <c r="F35" s="78">
        <f>IF(Will!I35=0,0,Will!I35)</f>
        <v>0</v>
      </c>
      <c r="H35" s="24">
        <f>F35*F$75</f>
        <v>0</v>
      </c>
    </row>
    <row r="36" ht="4.5" customHeight="1" thickBot="1">
      <c r="H36" s="21"/>
    </row>
    <row r="37" spans="2:8" ht="13.5" thickBot="1">
      <c r="B37" s="78">
        <f>IF(Will!B37=0,"",Will!B37)</f>
      </c>
      <c r="D37" s="78">
        <f>IF(Will!I37=0,0,Will!I37)</f>
        <v>0</v>
      </c>
      <c r="F37" s="78">
        <f>IF(Will!I37=0,0,Will!I37)</f>
        <v>0</v>
      </c>
      <c r="H37" s="24">
        <f>F37*F$75</f>
        <v>0</v>
      </c>
    </row>
    <row r="38" ht="4.5" customHeight="1" thickBot="1">
      <c r="H38" s="21"/>
    </row>
    <row r="39" spans="2:8" ht="13.5" thickBot="1">
      <c r="B39" s="78">
        <f>IF(Will!B39=0,"",Will!B39)</f>
      </c>
      <c r="D39" s="78">
        <f>IF(Will!I39=0,0,Will!I39)</f>
        <v>0</v>
      </c>
      <c r="F39" s="78">
        <f>IF(Will!I39=0,0,Will!I39)</f>
        <v>0</v>
      </c>
      <c r="H39" s="24">
        <f>F39*F$75</f>
        <v>0</v>
      </c>
    </row>
    <row r="40" ht="4.5" customHeight="1" thickBot="1">
      <c r="H40" s="21"/>
    </row>
    <row r="41" spans="2:8" ht="13.5" thickBot="1">
      <c r="B41" s="78">
        <f>IF(Will!B41=0,"",Will!B41)</f>
      </c>
      <c r="D41" s="78">
        <f>IF(Will!I41=0,0,Will!I41)</f>
        <v>0</v>
      </c>
      <c r="F41" s="78">
        <f>IF(Will!I41=0,0,Will!I41)</f>
        <v>0</v>
      </c>
      <c r="H41" s="24">
        <f>F41*F$75</f>
        <v>0</v>
      </c>
    </row>
    <row r="42" ht="4.5" customHeight="1" thickBot="1">
      <c r="H42" s="21"/>
    </row>
    <row r="43" spans="2:8" ht="13.5" thickBot="1">
      <c r="B43" s="78">
        <f>IF(Will!B43=0,"",Will!B43)</f>
      </c>
      <c r="D43" s="78">
        <f>IF(Will!I43=0,0,Will!I43)</f>
        <v>0</v>
      </c>
      <c r="F43" s="78">
        <f>IF(Will!I43=0,0,Will!I43)</f>
        <v>0</v>
      </c>
      <c r="H43" s="24">
        <f>F43*F$75</f>
        <v>0</v>
      </c>
    </row>
    <row r="44" ht="4.5" customHeight="1" thickBot="1">
      <c r="H44" s="21"/>
    </row>
    <row r="45" spans="2:8" ht="13.5" thickBot="1">
      <c r="B45" s="76" t="s">
        <v>144</v>
      </c>
      <c r="D45" s="24">
        <f>D27-SUM(D29:D43)</f>
        <v>2100000</v>
      </c>
      <c r="F45" s="24">
        <f>D87</f>
        <v>2100000</v>
      </c>
      <c r="H45" s="24">
        <v>0</v>
      </c>
    </row>
    <row r="46" ht="4.5" customHeight="1" thickBot="1">
      <c r="H46" s="21"/>
    </row>
    <row r="47" spans="2:10" ht="13.5" thickBot="1">
      <c r="B47" s="78" t="str">
        <f>IF(Will!B47=0,"",Will!B47)</f>
        <v>Spouse and other exempt gifts (e.g. charities) out of the residue</v>
      </c>
      <c r="D47" s="24">
        <f>IF(D$45&gt;0,D$45*Will!E47/Will!E$45,0)</f>
        <v>0</v>
      </c>
      <c r="F47" s="24">
        <f>IF(F$45&gt;0,F$45*Will!E47/Will!E$45,0)</f>
        <v>0</v>
      </c>
      <c r="H47" s="80"/>
      <c r="J47" s="7"/>
    </row>
    <row r="48" ht="4.5" customHeight="1" thickBot="1">
      <c r="H48" s="21"/>
    </row>
    <row r="49" spans="2:8" ht="13.5" thickBot="1">
      <c r="B49" s="78" t="str">
        <f>IF(Will!B49=0,"",Will!B49)</f>
        <v>Daughter</v>
      </c>
      <c r="D49" s="24">
        <f>IF(D$45&gt;0,D$45*Will!E49/Will!E$45,0)</f>
        <v>2100000</v>
      </c>
      <c r="F49" s="24">
        <f>IF(F$45&gt;0,F$45*Will!E49/Will!E$45,0)</f>
        <v>2100000</v>
      </c>
      <c r="H49" s="24">
        <f>F49*F$75</f>
        <v>710000</v>
      </c>
    </row>
    <row r="50" ht="4.5" customHeight="1" thickBot="1">
      <c r="H50" s="21"/>
    </row>
    <row r="51" spans="2:8" ht="13.5" thickBot="1">
      <c r="B51" s="78">
        <f>IF(Will!B51=0,"",Will!B51)</f>
      </c>
      <c r="D51" s="24">
        <f>IF(D$45&gt;0,D$45*Will!E51/Will!E$45,0)</f>
        <v>0</v>
      </c>
      <c r="F51" s="24">
        <f>IF(F$45&gt;0,F$45*Will!E51/Will!E$45,0)</f>
        <v>0</v>
      </c>
      <c r="H51" s="24">
        <f>F51*F$75</f>
        <v>0</v>
      </c>
    </row>
    <row r="52" ht="4.5" customHeight="1" thickBot="1">
      <c r="H52" s="21"/>
    </row>
    <row r="53" spans="2:8" ht="13.5" thickBot="1">
      <c r="B53" s="78">
        <f>IF(Will!B53=0,"",Will!B53)</f>
      </c>
      <c r="D53" s="24">
        <f>IF(D$45&gt;0,D$45*Will!E53/Will!E$45,0)</f>
        <v>0</v>
      </c>
      <c r="F53" s="24">
        <f>IF(F$45&gt;0,F$45*Will!E53/Will!E$45,0)</f>
        <v>0</v>
      </c>
      <c r="H53" s="24">
        <f>F53*F$75</f>
        <v>0</v>
      </c>
    </row>
    <row r="54" ht="4.5" customHeight="1" thickBot="1">
      <c r="H54" s="21"/>
    </row>
    <row r="55" spans="4:8" ht="13.5" thickBot="1">
      <c r="D55" s="24">
        <f>SUM(D47:D53)</f>
        <v>2100000</v>
      </c>
      <c r="F55" s="24">
        <f>IF(F$45&gt;0,F$45*Will!E55/Will!E$45,0)</f>
        <v>2100000</v>
      </c>
      <c r="H55" s="27">
        <f>SUM(H23:H53)</f>
        <v>710000</v>
      </c>
    </row>
    <row r="56" ht="4.5" customHeight="1" thickBot="1">
      <c r="H56" s="21"/>
    </row>
    <row r="57" spans="2:8" ht="13.5" thickBot="1">
      <c r="B57" s="76" t="s">
        <v>134</v>
      </c>
      <c r="D57" s="24">
        <f>Estate!F55</f>
        <v>0</v>
      </c>
      <c r="F57" s="24">
        <f>Estate!F55</f>
        <v>0</v>
      </c>
      <c r="G57" s="1"/>
      <c r="H57" s="91">
        <f>D57*revisedtaxpercent</f>
        <v>0</v>
      </c>
    </row>
    <row r="58" ht="4.5" customHeight="1"/>
    <row r="59" ht="12.75">
      <c r="B59" s="1" t="s">
        <v>151</v>
      </c>
    </row>
    <row r="60" ht="4.5" customHeight="1" thickBot="1"/>
    <row r="61" spans="2:6" ht="13.5" thickBot="1">
      <c r="B61" t="s">
        <v>133</v>
      </c>
      <c r="D61" s="78">
        <f>D5</f>
        <v>2100000</v>
      </c>
      <c r="F61" s="78">
        <f>D5</f>
        <v>2100000</v>
      </c>
    </row>
    <row r="62" ht="4.5" customHeight="1" thickBot="1"/>
    <row r="63" spans="2:6" ht="13.5" thickBot="1">
      <c r="B63" t="s">
        <v>134</v>
      </c>
      <c r="D63" s="78">
        <f>D7</f>
        <v>0</v>
      </c>
      <c r="F63" s="78">
        <f>D7</f>
        <v>0</v>
      </c>
    </row>
    <row r="64" ht="4.5" customHeight="1" thickBot="1"/>
    <row r="65" spans="2:6" ht="13.5" thickBot="1">
      <c r="B65" t="s">
        <v>200</v>
      </c>
      <c r="D65" s="78">
        <f>D47</f>
        <v>0</v>
      </c>
      <c r="F65" s="78">
        <f>F47</f>
        <v>0</v>
      </c>
    </row>
    <row r="66" ht="4.5" customHeight="1" thickBot="1"/>
    <row r="67" spans="2:6" ht="13.5" thickBot="1">
      <c r="B67" t="s">
        <v>142</v>
      </c>
      <c r="D67" s="78">
        <f>D29</f>
        <v>0</v>
      </c>
      <c r="F67" s="78">
        <f>F29</f>
        <v>0</v>
      </c>
    </row>
    <row r="68" ht="4.5" customHeight="1" thickBot="1"/>
    <row r="69" spans="2:6" ht="13.5" thickBot="1">
      <c r="B69" t="s">
        <v>143</v>
      </c>
      <c r="D69" s="78">
        <f>D31</f>
        <v>0</v>
      </c>
      <c r="F69" s="78">
        <f>F31</f>
        <v>0</v>
      </c>
    </row>
    <row r="70" ht="4.5" customHeight="1" thickBot="1"/>
    <row r="71" spans="2:6" ht="13.5" thickBot="1">
      <c r="B71" s="81" t="s">
        <v>152</v>
      </c>
      <c r="D71" s="78">
        <f>D61-D65-D67-D69</f>
        <v>2100000</v>
      </c>
      <c r="F71" s="78">
        <f>F61+F63-F65-F67-F69</f>
        <v>2100000</v>
      </c>
    </row>
    <row r="72" ht="4.5" customHeight="1" thickBot="1"/>
    <row r="73" spans="2:6" ht="13.5" thickBot="1">
      <c r="B73" s="82" t="s">
        <v>153</v>
      </c>
      <c r="D73" s="78">
        <f>IF(D71&lt;F11,0,(D71-F11)*'Tax Payable'!C10)</f>
        <v>710000</v>
      </c>
      <c r="F73" s="78">
        <f>IF(F71&lt;F11,0,(F71-F11)*'Tax Payable'!C10)</f>
        <v>710000</v>
      </c>
    </row>
    <row r="74" ht="4.5" customHeight="1" thickBot="1"/>
    <row r="75" spans="2:6" ht="13.5" thickBot="1">
      <c r="B75" t="s">
        <v>33</v>
      </c>
      <c r="D75" s="83">
        <f>IF(D73&gt;0,D73/D71,0)</f>
        <v>0.3380952380952381</v>
      </c>
      <c r="F75" s="83">
        <f>IF(F73&gt;0,F73/F71,0)</f>
        <v>0.3380952380952381</v>
      </c>
    </row>
    <row r="76" ht="4.5" customHeight="1" thickBot="1"/>
    <row r="77" spans="2:4" ht="13.5" thickBot="1">
      <c r="B77" t="s">
        <v>154</v>
      </c>
      <c r="D77" s="31">
        <f>D23/(1-D75)</f>
        <v>0</v>
      </c>
    </row>
    <row r="78" ht="4.5" customHeight="1" thickBot="1">
      <c r="H78" s="21"/>
    </row>
    <row r="79" spans="2:4" ht="13.5" thickBot="1">
      <c r="B79" t="s">
        <v>155</v>
      </c>
      <c r="D79" s="31">
        <f>SUM(D32:D43)</f>
        <v>0</v>
      </c>
    </row>
    <row r="80" ht="4.5" customHeight="1" thickBot="1">
      <c r="H80" s="21"/>
    </row>
    <row r="81" spans="2:4" ht="13.5" thickBot="1">
      <c r="B81" t="s">
        <v>156</v>
      </c>
      <c r="D81" s="31">
        <f>SUM(D77:D79)</f>
        <v>0</v>
      </c>
    </row>
    <row r="82" ht="4.5" customHeight="1" thickBot="1">
      <c r="H82" s="21"/>
    </row>
    <row r="83" spans="2:4" ht="13.5" thickBot="1">
      <c r="B83" t="s">
        <v>136</v>
      </c>
      <c r="D83" s="31">
        <f>D61</f>
        <v>2100000</v>
      </c>
    </row>
    <row r="84" ht="4.5" customHeight="1" thickBot="1">
      <c r="H84" s="21"/>
    </row>
    <row r="85" spans="2:4" ht="13.5" thickBot="1">
      <c r="B85" t="s">
        <v>157</v>
      </c>
      <c r="D85" s="31">
        <f>D81+D29+D31</f>
        <v>0</v>
      </c>
    </row>
    <row r="86" ht="4.5" customHeight="1" thickBot="1">
      <c r="H86" s="21"/>
    </row>
    <row r="87" spans="2:4" ht="13.5" thickBot="1">
      <c r="B87" t="s">
        <v>158</v>
      </c>
      <c r="D87" s="31">
        <f>D83-D85</f>
        <v>2100000</v>
      </c>
    </row>
    <row r="88" ht="4.5" customHeight="1">
      <c r="H88" s="21"/>
    </row>
    <row r="89" ht="4.5" customHeight="1">
      <c r="H89" s="21"/>
    </row>
    <row r="91" ht="4.5" customHeight="1">
      <c r="H91" s="21"/>
    </row>
  </sheetData>
  <sheetProtection password="EEC4" sheet="1" objects="1" scenarios="1"/>
  <printOptions horizontalCentered="1" verticalCentered="1"/>
  <pageMargins left="0.1968503937007874" right="0.1968503937007874" top="0.984251968503937" bottom="0.984251968503937" header="0.5118110236220472" footer="0.5118110236220472"/>
  <pageSetup fitToHeight="1" fitToWidth="1" horizontalDpi="600" verticalDpi="600" orientation="portrait" paperSize="9" scale="64" r:id="rId2"/>
  <legacyDrawing r:id="rId1"/>
</worksheet>
</file>

<file path=xl/worksheets/sheet13.xml><?xml version="1.0" encoding="utf-8"?>
<worksheet xmlns="http://schemas.openxmlformats.org/spreadsheetml/2006/main" xmlns:r="http://schemas.openxmlformats.org/officeDocument/2006/relationships">
  <sheetPr codeName="Sheet9">
    <pageSetUpPr fitToPage="1"/>
  </sheetPr>
  <dimension ref="B2:G28"/>
  <sheetViews>
    <sheetView showZeros="0" showOutlineSymbols="0" zoomScalePageLayoutView="0" workbookViewId="0" topLeftCell="A1">
      <selection activeCell="I1" sqref="I1:I16384"/>
    </sheetView>
  </sheetViews>
  <sheetFormatPr defaultColWidth="9.00390625" defaultRowHeight="12.75"/>
  <cols>
    <col min="2" max="3" width="15.625" style="0" customWidth="1"/>
    <col min="4" max="7" width="8.375" style="0" customWidth="1"/>
  </cols>
  <sheetData>
    <row r="1" ht="19.5" customHeight="1" thickBot="1"/>
    <row r="2" spans="2:7" ht="12.75">
      <c r="B2" s="32"/>
      <c r="C2" s="33"/>
      <c r="D2" s="33"/>
      <c r="E2" s="33"/>
      <c r="F2" s="33"/>
      <c r="G2" s="34"/>
    </row>
    <row r="3" spans="2:7" ht="15">
      <c r="B3" s="182" t="s">
        <v>103</v>
      </c>
      <c r="C3" s="183"/>
      <c r="D3" s="183"/>
      <c r="E3" s="183"/>
      <c r="F3" s="183"/>
      <c r="G3" s="184"/>
    </row>
    <row r="4" spans="2:7" ht="13.5" thickBot="1">
      <c r="B4" s="35"/>
      <c r="C4" s="36"/>
      <c r="D4" s="36"/>
      <c r="E4" s="36"/>
      <c r="F4" s="36"/>
      <c r="G4" s="37"/>
    </row>
    <row r="5" spans="2:7" ht="12.75">
      <c r="B5" s="38"/>
      <c r="C5" s="38"/>
      <c r="D5" s="185" t="s">
        <v>36</v>
      </c>
      <c r="E5" s="186"/>
      <c r="F5" s="185" t="s">
        <v>106</v>
      </c>
      <c r="G5" s="186"/>
    </row>
    <row r="6" spans="2:7" ht="13.5" thickBot="1">
      <c r="B6" s="49" t="s">
        <v>104</v>
      </c>
      <c r="C6" s="49" t="s">
        <v>105</v>
      </c>
      <c r="D6" s="47" t="s">
        <v>107</v>
      </c>
      <c r="E6" s="48" t="s">
        <v>108</v>
      </c>
      <c r="F6" s="47" t="s">
        <v>107</v>
      </c>
      <c r="G6" s="48" t="s">
        <v>108</v>
      </c>
    </row>
    <row r="7" spans="2:7" ht="13.5" thickBot="1">
      <c r="B7" s="46">
        <v>31489</v>
      </c>
      <c r="C7" s="44">
        <v>71000</v>
      </c>
      <c r="D7" s="50">
        <v>0.2</v>
      </c>
      <c r="E7" s="51">
        <v>0.25</v>
      </c>
      <c r="F7" s="51">
        <v>0.4</v>
      </c>
      <c r="G7" s="52">
        <v>0.666</v>
      </c>
    </row>
    <row r="8" spans="2:7" ht="13.5" thickBot="1">
      <c r="B8" s="46">
        <v>31853</v>
      </c>
      <c r="C8" s="44">
        <v>90000</v>
      </c>
      <c r="D8" s="50">
        <v>0.2</v>
      </c>
      <c r="E8" s="51">
        <v>0.25</v>
      </c>
      <c r="F8" s="51">
        <v>0.4</v>
      </c>
      <c r="G8" s="52">
        <v>0.666</v>
      </c>
    </row>
    <row r="9" spans="2:7" ht="13.5" thickBot="1">
      <c r="B9" s="46">
        <v>32217</v>
      </c>
      <c r="C9" s="44">
        <v>110000</v>
      </c>
      <c r="D9" s="50">
        <v>0.2</v>
      </c>
      <c r="E9" s="51">
        <v>0.25</v>
      </c>
      <c r="F9" s="51">
        <v>0.4</v>
      </c>
      <c r="G9" s="52">
        <v>0.666</v>
      </c>
    </row>
    <row r="10" spans="2:7" ht="13.5" thickBot="1">
      <c r="B10" s="46">
        <v>32604</v>
      </c>
      <c r="C10" s="44">
        <v>118000</v>
      </c>
      <c r="D10" s="50">
        <v>0.2</v>
      </c>
      <c r="E10" s="51">
        <v>0.25</v>
      </c>
      <c r="F10" s="51">
        <v>0.4</v>
      </c>
      <c r="G10" s="52">
        <v>0.666</v>
      </c>
    </row>
    <row r="11" spans="2:7" ht="13.5" thickBot="1">
      <c r="B11" s="46">
        <v>32969</v>
      </c>
      <c r="C11" s="44">
        <v>128000</v>
      </c>
      <c r="D11" s="50">
        <v>0.2</v>
      </c>
      <c r="E11" s="51">
        <v>0.25</v>
      </c>
      <c r="F11" s="51">
        <v>0.4</v>
      </c>
      <c r="G11" s="52">
        <v>0.666</v>
      </c>
    </row>
    <row r="12" spans="2:7" ht="13.5" thickBot="1">
      <c r="B12" s="46">
        <v>33334</v>
      </c>
      <c r="C12" s="44">
        <v>140000</v>
      </c>
      <c r="D12" s="50">
        <v>0.2</v>
      </c>
      <c r="E12" s="51">
        <v>0.25</v>
      </c>
      <c r="F12" s="51">
        <v>0.4</v>
      </c>
      <c r="G12" s="52">
        <v>0.666</v>
      </c>
    </row>
    <row r="13" spans="2:7" ht="13.5" thickBot="1">
      <c r="B13" s="46">
        <v>33673</v>
      </c>
      <c r="C13" s="44">
        <v>150000</v>
      </c>
      <c r="D13" s="50">
        <v>0.2</v>
      </c>
      <c r="E13" s="51">
        <v>0.25</v>
      </c>
      <c r="F13" s="51">
        <v>0.4</v>
      </c>
      <c r="G13" s="52">
        <v>0.666</v>
      </c>
    </row>
    <row r="14" spans="2:7" ht="13.5" thickBot="1">
      <c r="B14" s="46">
        <v>34795</v>
      </c>
      <c r="C14" s="44">
        <v>154000</v>
      </c>
      <c r="D14" s="50">
        <v>0.2</v>
      </c>
      <c r="E14" s="51">
        <v>0.25</v>
      </c>
      <c r="F14" s="51">
        <v>0.4</v>
      </c>
      <c r="G14" s="52">
        <v>0.666</v>
      </c>
    </row>
    <row r="15" spans="2:7" ht="13.5" thickBot="1">
      <c r="B15" s="46">
        <v>35161</v>
      </c>
      <c r="C15" s="44">
        <v>200000</v>
      </c>
      <c r="D15" s="50">
        <v>0.2</v>
      </c>
      <c r="E15" s="51">
        <v>0.25</v>
      </c>
      <c r="F15" s="51">
        <v>0.4</v>
      </c>
      <c r="G15" s="52">
        <v>0.666</v>
      </c>
    </row>
    <row r="16" spans="2:7" ht="13.5" thickBot="1">
      <c r="B16" s="46">
        <v>35526</v>
      </c>
      <c r="C16" s="44">
        <v>215000</v>
      </c>
      <c r="D16" s="50">
        <v>0.2</v>
      </c>
      <c r="E16" s="51">
        <v>0.25</v>
      </c>
      <c r="F16" s="51">
        <v>0.4</v>
      </c>
      <c r="G16" s="52">
        <v>0.666</v>
      </c>
    </row>
    <row r="17" spans="2:7" ht="13.5" thickBot="1">
      <c r="B17" s="46">
        <v>35891</v>
      </c>
      <c r="C17" s="44">
        <v>223000</v>
      </c>
      <c r="D17" s="50">
        <v>0.2</v>
      </c>
      <c r="E17" s="51">
        <v>0.25</v>
      </c>
      <c r="F17" s="51">
        <v>0.4</v>
      </c>
      <c r="G17" s="52">
        <v>0.666</v>
      </c>
    </row>
    <row r="18" spans="2:7" ht="13.5" thickBot="1">
      <c r="B18" s="46">
        <v>36256</v>
      </c>
      <c r="C18" s="44">
        <v>231000</v>
      </c>
      <c r="D18" s="50">
        <v>0.2</v>
      </c>
      <c r="E18" s="51">
        <v>0.25</v>
      </c>
      <c r="F18" s="51">
        <v>0.4</v>
      </c>
      <c r="G18" s="52">
        <v>0.666</v>
      </c>
    </row>
    <row r="19" spans="2:7" ht="13.5" thickBot="1">
      <c r="B19" s="46">
        <v>36622</v>
      </c>
      <c r="C19" s="44">
        <v>234000</v>
      </c>
      <c r="D19" s="50">
        <v>0.2</v>
      </c>
      <c r="E19" s="51">
        <v>0.25</v>
      </c>
      <c r="F19" s="51">
        <v>0.4</v>
      </c>
      <c r="G19" s="52">
        <v>0.666</v>
      </c>
    </row>
    <row r="20" spans="2:7" ht="13.5" thickBot="1">
      <c r="B20" s="46">
        <v>36987</v>
      </c>
      <c r="C20" s="44">
        <v>242000</v>
      </c>
      <c r="D20" s="50">
        <v>0.2</v>
      </c>
      <c r="E20" s="51">
        <v>0.25</v>
      </c>
      <c r="F20" s="51">
        <v>0.4</v>
      </c>
      <c r="G20" s="52">
        <v>0.666</v>
      </c>
    </row>
    <row r="21" spans="2:7" ht="13.5" thickBot="1">
      <c r="B21" s="46">
        <v>37352</v>
      </c>
      <c r="C21" s="44">
        <v>250000</v>
      </c>
      <c r="D21" s="50">
        <v>0.2</v>
      </c>
      <c r="E21" s="51">
        <v>0.25</v>
      </c>
      <c r="F21" s="51">
        <v>0.4</v>
      </c>
      <c r="G21" s="52">
        <v>0.666</v>
      </c>
    </row>
    <row r="22" spans="2:7" ht="13.5" thickBot="1">
      <c r="B22" s="46">
        <v>37717</v>
      </c>
      <c r="C22" s="44">
        <v>255000</v>
      </c>
      <c r="D22" s="50">
        <v>0.2</v>
      </c>
      <c r="E22" s="50">
        <v>0.25</v>
      </c>
      <c r="F22" s="50">
        <v>0.4</v>
      </c>
      <c r="G22" s="53">
        <v>0.666</v>
      </c>
    </row>
    <row r="23" spans="2:7" ht="13.5" thickBot="1">
      <c r="B23" s="46">
        <v>38083</v>
      </c>
      <c r="C23" s="44">
        <v>263000</v>
      </c>
      <c r="D23" s="50">
        <v>0.2</v>
      </c>
      <c r="E23" s="50">
        <v>0.25</v>
      </c>
      <c r="F23" s="50">
        <v>0.4</v>
      </c>
      <c r="G23" s="53">
        <v>0.666</v>
      </c>
    </row>
    <row r="24" spans="2:7" ht="13.5" thickBot="1">
      <c r="B24" s="46">
        <v>38448</v>
      </c>
      <c r="C24" s="44">
        <v>275000</v>
      </c>
      <c r="D24" s="50">
        <v>0.2</v>
      </c>
      <c r="E24" s="50">
        <v>0.25</v>
      </c>
      <c r="F24" s="50">
        <v>0.4</v>
      </c>
      <c r="G24" s="53">
        <v>0.666</v>
      </c>
    </row>
    <row r="25" spans="2:7" ht="13.5" thickBot="1">
      <c r="B25" s="46">
        <v>38813</v>
      </c>
      <c r="C25" s="44">
        <v>285000</v>
      </c>
      <c r="D25" s="50">
        <v>0.2</v>
      </c>
      <c r="E25" s="50">
        <v>0.25</v>
      </c>
      <c r="F25" s="50">
        <v>0.4</v>
      </c>
      <c r="G25" s="53">
        <v>0.666</v>
      </c>
    </row>
    <row r="26" spans="2:7" ht="13.5" thickBot="1">
      <c r="B26" s="46">
        <v>39178</v>
      </c>
      <c r="C26" s="44">
        <v>300000</v>
      </c>
      <c r="D26" s="50">
        <v>0.2</v>
      </c>
      <c r="E26" s="50">
        <v>0.25</v>
      </c>
      <c r="F26" s="50">
        <v>0.4</v>
      </c>
      <c r="G26" s="53">
        <v>0.666</v>
      </c>
    </row>
    <row r="27" spans="2:7" ht="13.5" thickBot="1">
      <c r="B27" s="46">
        <v>39544</v>
      </c>
      <c r="C27" s="44">
        <v>312000</v>
      </c>
      <c r="D27" s="50">
        <v>0.2</v>
      </c>
      <c r="E27" s="50">
        <v>0.25</v>
      </c>
      <c r="F27" s="50">
        <v>0.4</v>
      </c>
      <c r="G27" s="53">
        <v>0.666</v>
      </c>
    </row>
    <row r="28" spans="2:7" ht="13.5" thickBot="1">
      <c r="B28" s="46">
        <v>39909</v>
      </c>
      <c r="C28" s="44">
        <v>325000</v>
      </c>
      <c r="D28" s="50">
        <v>0.2</v>
      </c>
      <c r="E28" s="50">
        <v>0.25</v>
      </c>
      <c r="F28" s="50">
        <v>0.4</v>
      </c>
      <c r="G28" s="53">
        <v>0.666</v>
      </c>
    </row>
  </sheetData>
  <sheetProtection/>
  <mergeCells count="3">
    <mergeCell ref="B3:G3"/>
    <mergeCell ref="D5:E5"/>
    <mergeCell ref="F5:G5"/>
  </mergeCells>
  <printOptions/>
  <pageMargins left="0.61" right="0.75" top="1" bottom="1" header="0.5" footer="0.5"/>
  <pageSetup fitToHeight="1" fitToWidth="1" horizontalDpi="300" verticalDpi="300" orientation="portrait" r:id="rId2"/>
  <legacyDrawing r:id="rId1"/>
</worksheet>
</file>

<file path=xl/worksheets/sheet14.xml><?xml version="1.0" encoding="utf-8"?>
<worksheet xmlns="http://schemas.openxmlformats.org/spreadsheetml/2006/main" xmlns:r="http://schemas.openxmlformats.org/officeDocument/2006/relationships">
  <sheetPr codeName="Sheet10">
    <pageSetUpPr fitToPage="1"/>
  </sheetPr>
  <dimension ref="B4:D34"/>
  <sheetViews>
    <sheetView showGridLines="0" showRowColHeaders="0" showOutlineSymbols="0" zoomScalePageLayoutView="0" workbookViewId="0" topLeftCell="A1">
      <selection activeCell="B3" sqref="B3"/>
    </sheetView>
  </sheetViews>
  <sheetFormatPr defaultColWidth="9.00390625" defaultRowHeight="12.75"/>
  <cols>
    <col min="1" max="1" width="2.625" style="0" customWidth="1"/>
    <col min="2" max="2" width="32.50390625" style="0" customWidth="1"/>
    <col min="3" max="3" width="77.00390625" style="0" customWidth="1"/>
    <col min="4" max="4" width="11.375" style="0" customWidth="1"/>
  </cols>
  <sheetData>
    <row r="3" ht="13.5" thickBot="1"/>
    <row r="4" spans="2:4" ht="12.75">
      <c r="B4" s="68"/>
      <c r="C4" s="69"/>
      <c r="D4" s="70"/>
    </row>
    <row r="5" spans="2:4" ht="17.25">
      <c r="B5" s="187" t="s">
        <v>118</v>
      </c>
      <c r="C5" s="188"/>
      <c r="D5" s="189"/>
    </row>
    <row r="6" spans="2:4" ht="14.25" customHeight="1" thickBot="1">
      <c r="B6" s="71"/>
      <c r="C6" s="72"/>
      <c r="D6" s="73"/>
    </row>
    <row r="7" spans="2:4" ht="21" customHeight="1" thickBot="1">
      <c r="B7" s="74" t="s">
        <v>69</v>
      </c>
      <c r="C7" s="74" t="s">
        <v>70</v>
      </c>
      <c r="D7" s="75" t="s">
        <v>71</v>
      </c>
    </row>
    <row r="8" spans="2:4" ht="13.5" thickBot="1">
      <c r="B8" s="67" t="s">
        <v>72</v>
      </c>
      <c r="C8" s="42" t="s">
        <v>76</v>
      </c>
      <c r="D8" s="41" t="s">
        <v>77</v>
      </c>
    </row>
    <row r="9" spans="2:4" ht="13.5" thickBot="1">
      <c r="B9" s="39"/>
      <c r="C9" s="42" t="s">
        <v>78</v>
      </c>
      <c r="D9" s="44">
        <v>5000</v>
      </c>
    </row>
    <row r="10" spans="2:4" ht="13.5" thickBot="1">
      <c r="B10" s="39"/>
      <c r="C10" s="42" t="s">
        <v>96</v>
      </c>
      <c r="D10" s="44">
        <v>2500</v>
      </c>
    </row>
    <row r="11" spans="2:4" ht="13.5" thickBot="1">
      <c r="B11" s="39"/>
      <c r="C11" s="42" t="s">
        <v>79</v>
      </c>
      <c r="D11" s="44">
        <v>2500</v>
      </c>
    </row>
    <row r="12" spans="2:4" ht="13.5" thickBot="1">
      <c r="B12" s="39"/>
      <c r="C12" s="42" t="s">
        <v>80</v>
      </c>
      <c r="D12" s="44">
        <v>1000</v>
      </c>
    </row>
    <row r="13" spans="2:4" ht="13.5" thickBot="1">
      <c r="B13" s="66" t="s">
        <v>73</v>
      </c>
      <c r="C13" s="42" t="s">
        <v>81</v>
      </c>
      <c r="D13" s="45" t="s">
        <v>82</v>
      </c>
    </row>
    <row r="14" spans="2:4" ht="13.5" thickBot="1">
      <c r="B14" s="39"/>
      <c r="C14" s="42" t="s">
        <v>83</v>
      </c>
      <c r="D14" s="45" t="s">
        <v>82</v>
      </c>
    </row>
    <row r="15" spans="2:4" ht="13.5" thickBot="1">
      <c r="B15" s="39"/>
      <c r="C15" s="42" t="s">
        <v>84</v>
      </c>
      <c r="D15" s="45" t="s">
        <v>82</v>
      </c>
    </row>
    <row r="16" spans="2:4" ht="13.5" thickBot="1">
      <c r="B16" s="39"/>
      <c r="C16" s="42" t="s">
        <v>85</v>
      </c>
      <c r="D16" s="45" t="s">
        <v>82</v>
      </c>
    </row>
    <row r="17" spans="2:4" ht="13.5" thickBot="1">
      <c r="B17" s="39"/>
      <c r="C17" s="42" t="s">
        <v>86</v>
      </c>
      <c r="D17" s="45" t="s">
        <v>82</v>
      </c>
    </row>
    <row r="18" spans="2:4" ht="13.5" thickBot="1">
      <c r="B18" s="39"/>
      <c r="C18" s="42" t="s">
        <v>87</v>
      </c>
      <c r="D18" s="45" t="s">
        <v>82</v>
      </c>
    </row>
    <row r="19" spans="2:4" ht="13.5" thickBot="1">
      <c r="B19" s="39"/>
      <c r="C19" s="42" t="s">
        <v>88</v>
      </c>
      <c r="D19" s="45" t="s">
        <v>82</v>
      </c>
    </row>
    <row r="20" spans="2:4" ht="13.5" thickBot="1">
      <c r="B20" s="39"/>
      <c r="C20" s="42" t="s">
        <v>89</v>
      </c>
      <c r="D20" s="45" t="s">
        <v>82</v>
      </c>
    </row>
    <row r="21" spans="2:4" ht="13.5" thickBot="1">
      <c r="B21" s="39"/>
      <c r="C21" s="42" t="s">
        <v>90</v>
      </c>
      <c r="D21" s="45" t="s">
        <v>82</v>
      </c>
    </row>
    <row r="22" spans="2:4" ht="13.5" thickBot="1">
      <c r="B22" s="39"/>
      <c r="C22" s="42" t="s">
        <v>91</v>
      </c>
      <c r="D22" s="45" t="s">
        <v>82</v>
      </c>
    </row>
    <row r="23" spans="2:4" ht="13.5" thickBot="1">
      <c r="B23" s="39"/>
      <c r="C23" s="42" t="s">
        <v>95</v>
      </c>
      <c r="D23" s="44">
        <v>55000</v>
      </c>
    </row>
    <row r="24" spans="2:4" ht="13.5" thickBot="1">
      <c r="B24" s="66" t="s">
        <v>74</v>
      </c>
      <c r="C24" s="42" t="s">
        <v>92</v>
      </c>
      <c r="D24" s="45" t="s">
        <v>82</v>
      </c>
    </row>
    <row r="25" spans="2:4" ht="13.5" thickBot="1">
      <c r="B25" s="39"/>
      <c r="C25" s="42" t="s">
        <v>93</v>
      </c>
      <c r="D25" s="45" t="s">
        <v>94</v>
      </c>
    </row>
    <row r="26" spans="2:4" ht="13.5" thickBot="1">
      <c r="B26" s="39"/>
      <c r="C26" s="42" t="s">
        <v>220</v>
      </c>
      <c r="D26" s="45" t="s">
        <v>82</v>
      </c>
    </row>
    <row r="27" spans="2:4" ht="13.5" thickBot="1">
      <c r="B27" s="39"/>
      <c r="C27" s="42" t="s">
        <v>99</v>
      </c>
      <c r="D27" s="45" t="s">
        <v>82</v>
      </c>
    </row>
    <row r="28" spans="2:4" ht="13.5" thickBot="1">
      <c r="B28" s="39"/>
      <c r="C28" s="42" t="s">
        <v>100</v>
      </c>
      <c r="D28" s="45" t="s">
        <v>94</v>
      </c>
    </row>
    <row r="29" spans="2:4" ht="13.5" thickBot="1">
      <c r="B29" s="66" t="s">
        <v>75</v>
      </c>
      <c r="C29" s="42" t="s">
        <v>101</v>
      </c>
      <c r="D29" s="45" t="s">
        <v>82</v>
      </c>
    </row>
    <row r="30" spans="2:4" ht="13.5" thickBot="1">
      <c r="B30" s="39"/>
      <c r="C30" s="42" t="s">
        <v>102</v>
      </c>
      <c r="D30" s="45" t="s">
        <v>82</v>
      </c>
    </row>
    <row r="31" spans="2:4" ht="13.5" thickBot="1">
      <c r="B31" s="39"/>
      <c r="C31" s="42" t="s">
        <v>97</v>
      </c>
      <c r="D31" s="45" t="s">
        <v>82</v>
      </c>
    </row>
    <row r="32" spans="2:4" ht="13.5" thickBot="1">
      <c r="B32" s="39"/>
      <c r="C32" s="43" t="s">
        <v>98</v>
      </c>
      <c r="D32" s="45" t="s">
        <v>94</v>
      </c>
    </row>
    <row r="33" spans="2:4" ht="13.5" thickBot="1">
      <c r="B33" s="39"/>
      <c r="C33" s="42"/>
      <c r="D33" s="45"/>
    </row>
    <row r="34" spans="2:4" ht="13.5" thickBot="1">
      <c r="B34" s="40"/>
      <c r="C34" s="43"/>
      <c r="D34" s="45"/>
    </row>
  </sheetData>
  <sheetProtection password="CC78" sheet="1" objects="1" scenarios="1"/>
  <mergeCells count="1">
    <mergeCell ref="B5:D5"/>
  </mergeCells>
  <printOptions horizontalCentered="1" verticalCentered="1"/>
  <pageMargins left="0.2362204724409449" right="0.4724409448818898" top="0.984251968503937" bottom="0.984251968503937" header="0.5118110236220472" footer="0.5118110236220472"/>
  <pageSetup fitToHeight="1" fitToWidth="1" horizontalDpi="300" verticalDpi="300" orientation="landscape" r:id="rId2"/>
  <legacyDrawing r:id="rId1"/>
</worksheet>
</file>

<file path=xl/worksheets/sheet15.xml><?xml version="1.0" encoding="utf-8"?>
<worksheet xmlns="http://schemas.openxmlformats.org/spreadsheetml/2006/main" xmlns:r="http://schemas.openxmlformats.org/officeDocument/2006/relationships">
  <sheetPr codeName="Sheet11">
    <pageSetUpPr fitToPage="1"/>
  </sheetPr>
  <dimension ref="B4:R67"/>
  <sheetViews>
    <sheetView showGridLines="0" showRowColHeaders="0" showZeros="0" showOutlineSymbols="0" zoomScalePageLayoutView="0" workbookViewId="0" topLeftCell="A1">
      <selection activeCell="B68" sqref="B68"/>
    </sheetView>
  </sheetViews>
  <sheetFormatPr defaultColWidth="9.00390625" defaultRowHeight="12.75"/>
  <cols>
    <col min="1" max="1" width="2.625" style="0" customWidth="1"/>
    <col min="2" max="2" width="32.50390625" style="0" customWidth="1"/>
    <col min="3" max="30" width="4.625" style="0" customWidth="1"/>
  </cols>
  <sheetData>
    <row r="4" ht="12.75">
      <c r="B4" s="19" t="s">
        <v>164</v>
      </c>
    </row>
    <row r="5" ht="12.75">
      <c r="B5" s="19"/>
    </row>
    <row r="6" spans="2:18" ht="24.75" customHeight="1">
      <c r="B6" s="191" t="s">
        <v>282</v>
      </c>
      <c r="C6" s="192"/>
      <c r="D6" s="192"/>
      <c r="E6" s="192"/>
      <c r="F6" s="192"/>
      <c r="G6" s="192"/>
      <c r="H6" s="192"/>
      <c r="I6" s="192"/>
      <c r="J6" s="192"/>
      <c r="K6" s="192"/>
      <c r="L6" s="192"/>
      <c r="M6" s="192"/>
      <c r="N6" s="192"/>
      <c r="O6" s="192"/>
      <c r="P6" s="192"/>
      <c r="Q6" s="192"/>
      <c r="R6" s="192"/>
    </row>
    <row r="7" spans="2:18" ht="24.75" customHeight="1">
      <c r="B7" s="192"/>
      <c r="C7" s="192"/>
      <c r="D7" s="192"/>
      <c r="E7" s="192"/>
      <c r="F7" s="192"/>
      <c r="G7" s="192"/>
      <c r="H7" s="192"/>
      <c r="I7" s="192"/>
      <c r="J7" s="192"/>
      <c r="K7" s="192"/>
      <c r="L7" s="192"/>
      <c r="M7" s="192"/>
      <c r="N7" s="192"/>
      <c r="O7" s="192"/>
      <c r="P7" s="192"/>
      <c r="Q7" s="192"/>
      <c r="R7" s="192"/>
    </row>
    <row r="8" spans="2:18" ht="24.75" customHeight="1">
      <c r="B8" s="192"/>
      <c r="C8" s="192"/>
      <c r="D8" s="192"/>
      <c r="E8" s="192"/>
      <c r="F8" s="192"/>
      <c r="G8" s="192"/>
      <c r="H8" s="192"/>
      <c r="I8" s="192"/>
      <c r="J8" s="192"/>
      <c r="K8" s="192"/>
      <c r="L8" s="192"/>
      <c r="M8" s="192"/>
      <c r="N8" s="192"/>
      <c r="O8" s="192"/>
      <c r="P8" s="192"/>
      <c r="Q8" s="192"/>
      <c r="R8" s="192"/>
    </row>
    <row r="9" ht="12.75">
      <c r="B9" s="19"/>
    </row>
    <row r="10" ht="12.75">
      <c r="B10" s="19" t="s">
        <v>165</v>
      </c>
    </row>
    <row r="11" spans="2:18" ht="30" customHeight="1">
      <c r="B11" s="190" t="s">
        <v>206</v>
      </c>
      <c r="C11" s="190"/>
      <c r="D11" s="190"/>
      <c r="E11" s="190"/>
      <c r="F11" s="190"/>
      <c r="G11" s="190"/>
      <c r="H11" s="190"/>
      <c r="I11" s="190"/>
      <c r="J11" s="190"/>
      <c r="K11" s="190"/>
      <c r="L11" s="190"/>
      <c r="M11" s="190"/>
      <c r="N11" s="190"/>
      <c r="O11" s="190"/>
      <c r="P11" s="190"/>
      <c r="Q11" s="190"/>
      <c r="R11" s="190"/>
    </row>
    <row r="12" spans="2:18" ht="30" customHeight="1">
      <c r="B12" s="190"/>
      <c r="C12" s="190"/>
      <c r="D12" s="190"/>
      <c r="E12" s="190"/>
      <c r="F12" s="190"/>
      <c r="G12" s="190"/>
      <c r="H12" s="190"/>
      <c r="I12" s="190"/>
      <c r="J12" s="190"/>
      <c r="K12" s="190"/>
      <c r="L12" s="190"/>
      <c r="M12" s="190"/>
      <c r="N12" s="190"/>
      <c r="O12" s="190"/>
      <c r="P12" s="190"/>
      <c r="Q12" s="190"/>
      <c r="R12" s="190"/>
    </row>
    <row r="13" spans="2:18" ht="30" customHeight="1">
      <c r="B13" s="190"/>
      <c r="C13" s="190"/>
      <c r="D13" s="190"/>
      <c r="E13" s="190"/>
      <c r="F13" s="190"/>
      <c r="G13" s="190"/>
      <c r="H13" s="190"/>
      <c r="I13" s="190"/>
      <c r="J13" s="190"/>
      <c r="K13" s="190"/>
      <c r="L13" s="190"/>
      <c r="M13" s="190"/>
      <c r="N13" s="190"/>
      <c r="O13" s="190"/>
      <c r="P13" s="190"/>
      <c r="Q13" s="190"/>
      <c r="R13" s="190"/>
    </row>
    <row r="14" spans="2:18" ht="30" customHeight="1">
      <c r="B14" s="190"/>
      <c r="C14" s="190"/>
      <c r="D14" s="190"/>
      <c r="E14" s="190"/>
      <c r="F14" s="190"/>
      <c r="G14" s="190"/>
      <c r="H14" s="190"/>
      <c r="I14" s="190"/>
      <c r="J14" s="190"/>
      <c r="K14" s="190"/>
      <c r="L14" s="190"/>
      <c r="M14" s="190"/>
      <c r="N14" s="190"/>
      <c r="O14" s="190"/>
      <c r="P14" s="190"/>
      <c r="Q14" s="190"/>
      <c r="R14" s="190"/>
    </row>
    <row r="15" spans="2:18" ht="30" customHeight="1">
      <c r="B15" s="190"/>
      <c r="C15" s="190"/>
      <c r="D15" s="190"/>
      <c r="E15" s="190"/>
      <c r="F15" s="190"/>
      <c r="G15" s="190"/>
      <c r="H15" s="190"/>
      <c r="I15" s="190"/>
      <c r="J15" s="190"/>
      <c r="K15" s="190"/>
      <c r="L15" s="190"/>
      <c r="M15" s="190"/>
      <c r="N15" s="190"/>
      <c r="O15" s="190"/>
      <c r="P15" s="190"/>
      <c r="Q15" s="190"/>
      <c r="R15" s="190"/>
    </row>
    <row r="16" ht="12.75">
      <c r="B16" s="19" t="s">
        <v>166</v>
      </c>
    </row>
    <row r="17" spans="2:18" ht="12.75">
      <c r="B17" s="190" t="s">
        <v>167</v>
      </c>
      <c r="C17" s="190"/>
      <c r="D17" s="190"/>
      <c r="E17" s="190"/>
      <c r="F17" s="190"/>
      <c r="G17" s="190"/>
      <c r="H17" s="190"/>
      <c r="I17" s="190"/>
      <c r="J17" s="190"/>
      <c r="K17" s="190"/>
      <c r="L17" s="190"/>
      <c r="M17" s="190"/>
      <c r="N17" s="190"/>
      <c r="O17" s="190"/>
      <c r="P17" s="190"/>
      <c r="Q17" s="190"/>
      <c r="R17" s="190"/>
    </row>
    <row r="18" ht="12.75">
      <c r="B18" t="s">
        <v>57</v>
      </c>
    </row>
    <row r="19" ht="12.75">
      <c r="B19" t="s">
        <v>58</v>
      </c>
    </row>
    <row r="21" ht="12.75">
      <c r="B21" s="86" t="s">
        <v>178</v>
      </c>
    </row>
    <row r="22" spans="2:18" ht="12.75">
      <c r="B22" s="190" t="s">
        <v>179</v>
      </c>
      <c r="C22" s="190"/>
      <c r="D22" s="190"/>
      <c r="E22" s="190"/>
      <c r="F22" s="190"/>
      <c r="G22" s="190"/>
      <c r="H22" s="190"/>
      <c r="I22" s="190"/>
      <c r="J22" s="190"/>
      <c r="K22" s="190"/>
      <c r="L22" s="190"/>
      <c r="M22" s="190"/>
      <c r="N22" s="190"/>
      <c r="O22" s="190"/>
      <c r="P22" s="190"/>
      <c r="Q22" s="190"/>
      <c r="R22" s="190"/>
    </row>
    <row r="23" spans="2:18" ht="12.75">
      <c r="B23" s="190"/>
      <c r="C23" s="190"/>
      <c r="D23" s="190"/>
      <c r="E23" s="190"/>
      <c r="F23" s="190"/>
      <c r="G23" s="190"/>
      <c r="H23" s="190"/>
      <c r="I23" s="190"/>
      <c r="J23" s="190"/>
      <c r="K23" s="190"/>
      <c r="L23" s="190"/>
      <c r="M23" s="190"/>
      <c r="N23" s="190"/>
      <c r="O23" s="190"/>
      <c r="P23" s="190"/>
      <c r="Q23" s="190"/>
      <c r="R23" s="190"/>
    </row>
    <row r="24" ht="12.75">
      <c r="B24" t="s">
        <v>63</v>
      </c>
    </row>
    <row r="25" ht="12.75">
      <c r="B25" t="s">
        <v>55</v>
      </c>
    </row>
    <row r="26" ht="12.75">
      <c r="B26" t="s">
        <v>56</v>
      </c>
    </row>
    <row r="27" ht="12.75">
      <c r="B27" t="s">
        <v>62</v>
      </c>
    </row>
    <row r="28" ht="12.75">
      <c r="B28" t="s">
        <v>170</v>
      </c>
    </row>
    <row r="32" ht="12.75">
      <c r="B32" s="19" t="s">
        <v>169</v>
      </c>
    </row>
    <row r="33" spans="2:18" ht="12.75">
      <c r="B33" s="190" t="s">
        <v>171</v>
      </c>
      <c r="C33" s="190"/>
      <c r="D33" s="190"/>
      <c r="E33" s="190"/>
      <c r="F33" s="190"/>
      <c r="G33" s="190"/>
      <c r="H33" s="190"/>
      <c r="I33" s="190"/>
      <c r="J33" s="190"/>
      <c r="K33" s="190"/>
      <c r="L33" s="190"/>
      <c r="M33" s="190"/>
      <c r="N33" s="190"/>
      <c r="O33" s="190"/>
      <c r="P33" s="190"/>
      <c r="Q33" s="190"/>
      <c r="R33" s="190"/>
    </row>
    <row r="34" spans="2:18" ht="12.75">
      <c r="B34" s="190"/>
      <c r="C34" s="190"/>
      <c r="D34" s="190"/>
      <c r="E34" s="190"/>
      <c r="F34" s="190"/>
      <c r="G34" s="190"/>
      <c r="H34" s="190"/>
      <c r="I34" s="190"/>
      <c r="J34" s="190"/>
      <c r="K34" s="190"/>
      <c r="L34" s="190"/>
      <c r="M34" s="190"/>
      <c r="N34" s="190"/>
      <c r="O34" s="190"/>
      <c r="P34" s="190"/>
      <c r="Q34" s="190"/>
      <c r="R34" s="190"/>
    </row>
    <row r="35" spans="2:18" ht="12.75">
      <c r="B35" s="190"/>
      <c r="C35" s="190"/>
      <c r="D35" s="190"/>
      <c r="E35" s="190"/>
      <c r="F35" s="190"/>
      <c r="G35" s="190"/>
      <c r="H35" s="190"/>
      <c r="I35" s="190"/>
      <c r="J35" s="190"/>
      <c r="K35" s="190"/>
      <c r="L35" s="190"/>
      <c r="M35" s="190"/>
      <c r="N35" s="190"/>
      <c r="O35" s="190"/>
      <c r="P35" s="190"/>
      <c r="Q35" s="190"/>
      <c r="R35" s="190"/>
    </row>
    <row r="36" spans="2:18" ht="12.75">
      <c r="B36" s="190"/>
      <c r="C36" s="190"/>
      <c r="D36" s="190"/>
      <c r="E36" s="190"/>
      <c r="F36" s="190"/>
      <c r="G36" s="190"/>
      <c r="H36" s="190"/>
      <c r="I36" s="190"/>
      <c r="J36" s="190"/>
      <c r="K36" s="190"/>
      <c r="L36" s="190"/>
      <c r="M36" s="190"/>
      <c r="N36" s="190"/>
      <c r="O36" s="190"/>
      <c r="P36" s="190"/>
      <c r="Q36" s="190"/>
      <c r="R36" s="190"/>
    </row>
    <row r="38" ht="12.75">
      <c r="B38" s="19" t="s">
        <v>172</v>
      </c>
    </row>
    <row r="39" spans="2:18" ht="12.75">
      <c r="B39" s="190" t="s">
        <v>204</v>
      </c>
      <c r="C39" s="190"/>
      <c r="D39" s="190"/>
      <c r="E39" s="190"/>
      <c r="F39" s="190"/>
      <c r="G39" s="190"/>
      <c r="H39" s="190"/>
      <c r="I39" s="190"/>
      <c r="J39" s="190"/>
      <c r="K39" s="190"/>
      <c r="L39" s="190"/>
      <c r="M39" s="190"/>
      <c r="N39" s="190"/>
      <c r="O39" s="190"/>
      <c r="P39" s="190"/>
      <c r="Q39" s="190"/>
      <c r="R39" s="190"/>
    </row>
    <row r="40" spans="2:18" ht="12.75">
      <c r="B40" s="190"/>
      <c r="C40" s="190"/>
      <c r="D40" s="190"/>
      <c r="E40" s="190"/>
      <c r="F40" s="190"/>
      <c r="G40" s="190"/>
      <c r="H40" s="190"/>
      <c r="I40" s="190"/>
      <c r="J40" s="190"/>
      <c r="K40" s="190"/>
      <c r="L40" s="190"/>
      <c r="M40" s="190"/>
      <c r="N40" s="190"/>
      <c r="O40" s="190"/>
      <c r="P40" s="190"/>
      <c r="Q40" s="190"/>
      <c r="R40" s="190"/>
    </row>
    <row r="41" spans="2:18" ht="12.75">
      <c r="B41" s="190"/>
      <c r="C41" s="190"/>
      <c r="D41" s="190"/>
      <c r="E41" s="190"/>
      <c r="F41" s="190"/>
      <c r="G41" s="190"/>
      <c r="H41" s="190"/>
      <c r="I41" s="190"/>
      <c r="J41" s="190"/>
      <c r="K41" s="190"/>
      <c r="L41" s="190"/>
      <c r="M41" s="190"/>
      <c r="N41" s="190"/>
      <c r="O41" s="190"/>
      <c r="P41" s="190"/>
      <c r="Q41" s="190"/>
      <c r="R41" s="190"/>
    </row>
    <row r="42" spans="2:18" ht="12.75">
      <c r="B42" s="190"/>
      <c r="C42" s="190"/>
      <c r="D42" s="190"/>
      <c r="E42" s="190"/>
      <c r="F42" s="190"/>
      <c r="G42" s="190"/>
      <c r="H42" s="190"/>
      <c r="I42" s="190"/>
      <c r="J42" s="190"/>
      <c r="K42" s="190"/>
      <c r="L42" s="190"/>
      <c r="M42" s="190"/>
      <c r="N42" s="190"/>
      <c r="O42" s="190"/>
      <c r="P42" s="190"/>
      <c r="Q42" s="190"/>
      <c r="R42" s="190"/>
    </row>
    <row r="43" spans="2:18" ht="12.75">
      <c r="B43" s="190"/>
      <c r="C43" s="190"/>
      <c r="D43" s="190"/>
      <c r="E43" s="190"/>
      <c r="F43" s="190"/>
      <c r="G43" s="190"/>
      <c r="H43" s="190"/>
      <c r="I43" s="190"/>
      <c r="J43" s="190"/>
      <c r="K43" s="190"/>
      <c r="L43" s="190"/>
      <c r="M43" s="190"/>
      <c r="N43" s="190"/>
      <c r="O43" s="190"/>
      <c r="P43" s="190"/>
      <c r="Q43" s="190"/>
      <c r="R43" s="190"/>
    </row>
    <row r="44" spans="2:18" ht="12.75">
      <c r="B44" s="190"/>
      <c r="C44" s="190"/>
      <c r="D44" s="190"/>
      <c r="E44" s="190"/>
      <c r="F44" s="190"/>
      <c r="G44" s="190"/>
      <c r="H44" s="190"/>
      <c r="I44" s="190"/>
      <c r="J44" s="190"/>
      <c r="K44" s="190"/>
      <c r="L44" s="190"/>
      <c r="M44" s="190"/>
      <c r="N44" s="190"/>
      <c r="O44" s="190"/>
      <c r="P44" s="190"/>
      <c r="Q44" s="190"/>
      <c r="R44" s="190"/>
    </row>
    <row r="45" ht="12.75">
      <c r="B45" t="s">
        <v>32</v>
      </c>
    </row>
    <row r="46" ht="12.75">
      <c r="B46" s="19" t="s">
        <v>173</v>
      </c>
    </row>
    <row r="47" spans="2:18" ht="12.75">
      <c r="B47" s="190" t="s">
        <v>174</v>
      </c>
      <c r="C47" s="190"/>
      <c r="D47" s="190"/>
      <c r="E47" s="190"/>
      <c r="F47" s="190"/>
      <c r="G47" s="190"/>
      <c r="H47" s="190"/>
      <c r="I47" s="190"/>
      <c r="J47" s="190"/>
      <c r="K47" s="190"/>
      <c r="L47" s="190"/>
      <c r="M47" s="190"/>
      <c r="N47" s="190"/>
      <c r="O47" s="190"/>
      <c r="P47" s="190"/>
      <c r="Q47" s="190"/>
      <c r="R47" s="190"/>
    </row>
    <row r="48" spans="2:18" ht="12.75">
      <c r="B48" s="190"/>
      <c r="C48" s="190"/>
      <c r="D48" s="190"/>
      <c r="E48" s="190"/>
      <c r="F48" s="190"/>
      <c r="G48" s="190"/>
      <c r="H48" s="190"/>
      <c r="I48" s="190"/>
      <c r="J48" s="190"/>
      <c r="K48" s="190"/>
      <c r="L48" s="190"/>
      <c r="M48" s="190"/>
      <c r="N48" s="190"/>
      <c r="O48" s="190"/>
      <c r="P48" s="190"/>
      <c r="Q48" s="190"/>
      <c r="R48" s="190"/>
    </row>
    <row r="49" spans="2:18" ht="12.75">
      <c r="B49" s="190"/>
      <c r="C49" s="190"/>
      <c r="D49" s="190"/>
      <c r="E49" s="190"/>
      <c r="F49" s="190"/>
      <c r="G49" s="190"/>
      <c r="H49" s="190"/>
      <c r="I49" s="190"/>
      <c r="J49" s="190"/>
      <c r="K49" s="190"/>
      <c r="L49" s="190"/>
      <c r="M49" s="190"/>
      <c r="N49" s="190"/>
      <c r="O49" s="190"/>
      <c r="P49" s="190"/>
      <c r="Q49" s="190"/>
      <c r="R49" s="190"/>
    </row>
    <row r="51" ht="12.75">
      <c r="B51" s="19" t="s">
        <v>148</v>
      </c>
    </row>
    <row r="52" spans="2:18" ht="12.75">
      <c r="B52" s="190" t="s">
        <v>207</v>
      </c>
      <c r="C52" s="190"/>
      <c r="D52" s="190"/>
      <c r="E52" s="190"/>
      <c r="F52" s="190"/>
      <c r="G52" s="190"/>
      <c r="H52" s="190"/>
      <c r="I52" s="190"/>
      <c r="J52" s="190"/>
      <c r="K52" s="190"/>
      <c r="L52" s="190"/>
      <c r="M52" s="190"/>
      <c r="N52" s="190"/>
      <c r="O52" s="190"/>
      <c r="P52" s="190"/>
      <c r="Q52" s="190"/>
      <c r="R52" s="190"/>
    </row>
    <row r="53" spans="2:18" ht="12.75">
      <c r="B53" s="190"/>
      <c r="C53" s="190"/>
      <c r="D53" s="190"/>
      <c r="E53" s="190"/>
      <c r="F53" s="190"/>
      <c r="G53" s="190"/>
      <c r="H53" s="190"/>
      <c r="I53" s="190"/>
      <c r="J53" s="190"/>
      <c r="K53" s="190"/>
      <c r="L53" s="190"/>
      <c r="M53" s="190"/>
      <c r="N53" s="190"/>
      <c r="O53" s="190"/>
      <c r="P53" s="190"/>
      <c r="Q53" s="190"/>
      <c r="R53" s="190"/>
    </row>
    <row r="54" spans="2:18" ht="12.75">
      <c r="B54" s="190"/>
      <c r="C54" s="190"/>
      <c r="D54" s="190"/>
      <c r="E54" s="190"/>
      <c r="F54" s="190"/>
      <c r="G54" s="190"/>
      <c r="H54" s="190"/>
      <c r="I54" s="190"/>
      <c r="J54" s="190"/>
      <c r="K54" s="190"/>
      <c r="L54" s="190"/>
      <c r="M54" s="190"/>
      <c r="N54" s="190"/>
      <c r="O54" s="190"/>
      <c r="P54" s="190"/>
      <c r="Q54" s="190"/>
      <c r="R54" s="190"/>
    </row>
    <row r="56" ht="12.75">
      <c r="B56" s="19" t="s">
        <v>175</v>
      </c>
    </row>
    <row r="57" spans="2:18" ht="12.75">
      <c r="B57" s="190" t="s">
        <v>205</v>
      </c>
      <c r="C57" s="190"/>
      <c r="D57" s="190"/>
      <c r="E57" s="190"/>
      <c r="F57" s="190"/>
      <c r="G57" s="190"/>
      <c r="H57" s="190"/>
      <c r="I57" s="190"/>
      <c r="J57" s="190"/>
      <c r="K57" s="190"/>
      <c r="L57" s="190"/>
      <c r="M57" s="190"/>
      <c r="N57" s="190"/>
      <c r="O57" s="190"/>
      <c r="P57" s="190"/>
      <c r="Q57" s="190"/>
      <c r="R57" s="190"/>
    </row>
    <row r="58" spans="2:18" ht="12.75">
      <c r="B58" s="190"/>
      <c r="C58" s="190"/>
      <c r="D58" s="190"/>
      <c r="E58" s="190"/>
      <c r="F58" s="190"/>
      <c r="G58" s="190"/>
      <c r="H58" s="190"/>
      <c r="I58" s="190"/>
      <c r="J58" s="190"/>
      <c r="K58" s="190"/>
      <c r="L58" s="190"/>
      <c r="M58" s="190"/>
      <c r="N58" s="190"/>
      <c r="O58" s="190"/>
      <c r="P58" s="190"/>
      <c r="Q58" s="190"/>
      <c r="R58" s="190"/>
    </row>
    <row r="59" spans="2:18" ht="12.75">
      <c r="B59" s="190"/>
      <c r="C59" s="190"/>
      <c r="D59" s="190"/>
      <c r="E59" s="190"/>
      <c r="F59" s="190"/>
      <c r="G59" s="190"/>
      <c r="H59" s="190"/>
      <c r="I59" s="190"/>
      <c r="J59" s="190"/>
      <c r="K59" s="190"/>
      <c r="L59" s="190"/>
      <c r="M59" s="190"/>
      <c r="N59" s="190"/>
      <c r="O59" s="190"/>
      <c r="P59" s="190"/>
      <c r="Q59" s="190"/>
      <c r="R59" s="190"/>
    </row>
    <row r="61" ht="12.75">
      <c r="B61" s="19" t="s">
        <v>176</v>
      </c>
    </row>
    <row r="62" spans="2:18" ht="12.75">
      <c r="B62" s="190" t="s">
        <v>205</v>
      </c>
      <c r="C62" s="190"/>
      <c r="D62" s="190"/>
      <c r="E62" s="190"/>
      <c r="F62" s="190"/>
      <c r="G62" s="190"/>
      <c r="H62" s="190"/>
      <c r="I62" s="190"/>
      <c r="J62" s="190"/>
      <c r="K62" s="190"/>
      <c r="L62" s="190"/>
      <c r="M62" s="190"/>
      <c r="N62" s="190"/>
      <c r="O62" s="190"/>
      <c r="P62" s="190"/>
      <c r="Q62" s="190"/>
      <c r="R62" s="190"/>
    </row>
    <row r="63" spans="2:18" ht="12.75">
      <c r="B63" s="190"/>
      <c r="C63" s="190"/>
      <c r="D63" s="190"/>
      <c r="E63" s="190"/>
      <c r="F63" s="190"/>
      <c r="G63" s="190"/>
      <c r="H63" s="190"/>
      <c r="I63" s="190"/>
      <c r="J63" s="190"/>
      <c r="K63" s="190"/>
      <c r="L63" s="190"/>
      <c r="M63" s="190"/>
      <c r="N63" s="190"/>
      <c r="O63" s="190"/>
      <c r="P63" s="190"/>
      <c r="Q63" s="190"/>
      <c r="R63" s="190"/>
    </row>
    <row r="64" spans="2:18" ht="12.75">
      <c r="B64" s="190"/>
      <c r="C64" s="190"/>
      <c r="D64" s="190"/>
      <c r="E64" s="190"/>
      <c r="F64" s="190"/>
      <c r="G64" s="190"/>
      <c r="H64" s="190"/>
      <c r="I64" s="190"/>
      <c r="J64" s="190"/>
      <c r="K64" s="190"/>
      <c r="L64" s="190"/>
      <c r="M64" s="190"/>
      <c r="N64" s="190"/>
      <c r="O64" s="190"/>
      <c r="P64" s="190"/>
      <c r="Q64" s="190"/>
      <c r="R64" s="190"/>
    </row>
    <row r="66" ht="12.75">
      <c r="B66" s="19" t="s">
        <v>283</v>
      </c>
    </row>
    <row r="67" ht="12.75">
      <c r="B67" t="s">
        <v>284</v>
      </c>
    </row>
  </sheetData>
  <sheetProtection password="CC78" sheet="1" objects="1" scenarios="1"/>
  <mergeCells count="10">
    <mergeCell ref="B57:R59"/>
    <mergeCell ref="B62:R64"/>
    <mergeCell ref="B39:R44"/>
    <mergeCell ref="B47:R49"/>
    <mergeCell ref="B6:R8"/>
    <mergeCell ref="B52:R54"/>
    <mergeCell ref="B11:R15"/>
    <mergeCell ref="B17:R17"/>
    <mergeCell ref="B22:R23"/>
    <mergeCell ref="B33:R36"/>
  </mergeCells>
  <printOptions horizontalCentered="1" verticalCentered="1"/>
  <pageMargins left="0.23622047244094502" right="0.47244094488189003" top="0.984251968503937" bottom="0.984251968503937" header="0.511811023622047" footer="0.511811023622047"/>
  <pageSetup fitToHeight="1" fitToWidth="1" horizontalDpi="300" verticalDpi="300" orientation="landscape" r:id="rId2"/>
  <legacyDrawing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3:B43"/>
  <sheetViews>
    <sheetView showGridLines="0" showRowColHeaders="0" showZeros="0" showOutlineSymbols="0" zoomScalePageLayoutView="0" workbookViewId="0" topLeftCell="A1">
      <selection activeCell="A1" sqref="A1"/>
    </sheetView>
  </sheetViews>
  <sheetFormatPr defaultColWidth="9.125" defaultRowHeight="12.75"/>
  <cols>
    <col min="1" max="1" width="10.125" style="57" customWidth="1"/>
    <col min="2" max="2" width="11.625" style="57" customWidth="1"/>
    <col min="3" max="16384" width="9.125" style="57" customWidth="1"/>
  </cols>
  <sheetData>
    <row r="2" ht="18.75" customHeight="1"/>
    <row r="3" ht="18.75" customHeight="1">
      <c r="A3" s="61" t="s">
        <v>126</v>
      </c>
    </row>
    <row r="5" ht="12.75">
      <c r="B5" s="92" t="s">
        <v>184</v>
      </c>
    </row>
    <row r="6" ht="12.75">
      <c r="B6" s="92"/>
    </row>
    <row r="7" spans="1:2" ht="12.75">
      <c r="A7" s="57">
        <v>5.01</v>
      </c>
      <c r="B7" s="92" t="s">
        <v>219</v>
      </c>
    </row>
    <row r="8" spans="1:2" ht="12.75">
      <c r="A8" s="57" t="s">
        <v>32</v>
      </c>
      <c r="B8" s="60" t="s">
        <v>32</v>
      </c>
    </row>
    <row r="9" ht="12.75">
      <c r="B9" s="62"/>
    </row>
    <row r="11" spans="1:2" ht="12.75">
      <c r="A11" s="63"/>
      <c r="B11" s="62"/>
    </row>
    <row r="12" ht="12.75">
      <c r="B12" s="62"/>
    </row>
    <row r="13" ht="12.75">
      <c r="B13" s="62"/>
    </row>
    <row r="14" ht="12.75">
      <c r="B14" s="62"/>
    </row>
    <row r="15" spans="1:2" ht="12.75">
      <c r="A15" s="64"/>
      <c r="B15" s="62"/>
    </row>
    <row r="16" spans="1:2" ht="12.75">
      <c r="A16" s="65"/>
      <c r="B16" s="62"/>
    </row>
    <row r="17" spans="1:2" ht="12.75">
      <c r="A17" s="65"/>
      <c r="B17" s="62"/>
    </row>
    <row r="20" ht="12.75">
      <c r="B20" s="62"/>
    </row>
    <row r="22" spans="1:2" ht="12.75">
      <c r="A22" s="63"/>
      <c r="B22" s="62"/>
    </row>
    <row r="24" spans="1:2" ht="12.75">
      <c r="A24" s="63"/>
      <c r="B24" s="62"/>
    </row>
    <row r="27" spans="1:2" ht="12.75">
      <c r="A27" s="63"/>
      <c r="B27" s="62"/>
    </row>
    <row r="30" spans="1:2" ht="12.75">
      <c r="A30" s="65"/>
      <c r="B30" s="62"/>
    </row>
    <row r="33" ht="12.75">
      <c r="B33" s="62"/>
    </row>
    <row r="36" spans="1:2" ht="12.75">
      <c r="A36" s="63"/>
      <c r="B36" s="62"/>
    </row>
    <row r="38" ht="12.75">
      <c r="B38" s="62"/>
    </row>
    <row r="40" ht="12.75">
      <c r="B40" s="62"/>
    </row>
    <row r="42" spans="1:2" ht="12.75">
      <c r="A42" s="63"/>
      <c r="B42" s="62"/>
    </row>
    <row r="43" ht="12.75">
      <c r="B43" s="62"/>
    </row>
  </sheetData>
  <sheetProtection/>
  <printOptions/>
  <pageMargins left="0.75" right="0.75" top="1" bottom="1" header="0.5" footer="0.5"/>
  <pageSetup orientation="portrait" paperSize="9"/>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2:T58"/>
  <sheetViews>
    <sheetView showGridLines="0" showRowColHeaders="0" showZeros="0" showOutlineSymbols="0" zoomScalePageLayoutView="0" workbookViewId="0" topLeftCell="B1">
      <selection activeCell="B1" sqref="B1"/>
    </sheetView>
  </sheetViews>
  <sheetFormatPr defaultColWidth="9.00390625" defaultRowHeight="12.75"/>
  <cols>
    <col min="1" max="1" width="7.625" style="0" hidden="1" customWidth="1"/>
    <col min="2" max="2" width="53.875" style="0" customWidth="1"/>
    <col min="3" max="3" width="10.125" style="0" customWidth="1"/>
    <col min="4" max="4" width="3.50390625" style="0" customWidth="1"/>
    <col min="5" max="5" width="12.50390625" style="0" customWidth="1"/>
    <col min="6" max="6" width="13.125" style="0" customWidth="1"/>
    <col min="7" max="7" width="13.00390625" style="0" customWidth="1"/>
    <col min="8" max="9" width="13.125" style="0" customWidth="1"/>
    <col min="10" max="10" width="15.50390625" style="0" customWidth="1"/>
    <col min="11" max="11" width="0.37109375" style="0" hidden="1" customWidth="1"/>
  </cols>
  <sheetData>
    <row r="1" ht="32.25" customHeight="1"/>
    <row r="2" s="3" customFormat="1" ht="15.75">
      <c r="B2" s="3" t="s">
        <v>42</v>
      </c>
    </row>
    <row r="3" ht="4.5" customHeight="1"/>
    <row r="4" spans="2:8" ht="15.75">
      <c r="B4" s="1" t="s">
        <v>41</v>
      </c>
      <c r="C4" s="172" t="str">
        <f>Estate!C5</f>
        <v>A</v>
      </c>
      <c r="D4" s="173"/>
      <c r="E4" s="173"/>
      <c r="F4" s="173"/>
      <c r="G4" s="173"/>
      <c r="H4" s="174"/>
    </row>
    <row r="5" ht="4.5" customHeight="1"/>
    <row r="6" spans="2:8" ht="12.75">
      <c r="B6" s="1" t="str">
        <f>IF(deathreview=1,"Date of Review","Date of Death")</f>
        <v>Date of Death</v>
      </c>
      <c r="C6" s="175">
        <f>Estate!D7</f>
        <v>43220</v>
      </c>
      <c r="D6" s="176"/>
      <c r="E6" s="176"/>
      <c r="F6" s="176"/>
      <c r="G6" s="176"/>
      <c r="H6" s="176"/>
    </row>
    <row r="7" ht="4.5" customHeight="1" thickBot="1"/>
    <row r="8" spans="2:3" ht="13.5" thickBot="1">
      <c r="B8" s="1" t="s">
        <v>45</v>
      </c>
      <c r="C8" s="140">
        <f>Lookup!D27*(1+C12)</f>
        <v>325000</v>
      </c>
    </row>
    <row r="9" ht="4.5" customHeight="1" thickBot="1"/>
    <row r="10" spans="2:20" ht="13.5" thickBot="1">
      <c r="B10" s="1" t="s">
        <v>46</v>
      </c>
      <c r="C10" s="25">
        <f>IF(A49=TRUE,36%,Lookup!F27)</f>
        <v>0.4</v>
      </c>
      <c r="F10" s="171" t="s">
        <v>48</v>
      </c>
      <c r="G10" s="171"/>
      <c r="H10" s="2" t="s">
        <v>49</v>
      </c>
      <c r="I10" s="2" t="s">
        <v>64</v>
      </c>
      <c r="J10" s="2" t="s">
        <v>115</v>
      </c>
      <c r="S10" s="90"/>
      <c r="T10" s="90"/>
    </row>
    <row r="11" spans="2:20" ht="4.5" customHeight="1" thickBot="1">
      <c r="B11" s="1"/>
      <c r="S11" s="90"/>
      <c r="T11" s="90"/>
    </row>
    <row r="12" spans="2:20" ht="16.5" customHeight="1" thickBot="1">
      <c r="B12" s="19" t="s">
        <v>217</v>
      </c>
      <c r="C12" s="142">
        <v>0</v>
      </c>
      <c r="F12" s="2" t="s">
        <v>12</v>
      </c>
      <c r="G12" s="2" t="s">
        <v>12</v>
      </c>
      <c r="H12" s="2" t="s">
        <v>12</v>
      </c>
      <c r="I12" s="2" t="s">
        <v>12</v>
      </c>
      <c r="J12" s="2" t="s">
        <v>12</v>
      </c>
      <c r="S12" s="90"/>
      <c r="T12" s="90"/>
    </row>
    <row r="13" spans="2:20" ht="4.5" customHeight="1">
      <c r="B13" s="1"/>
      <c r="F13" s="8"/>
      <c r="S13" s="90"/>
      <c r="T13" s="90"/>
    </row>
    <row r="14" s="1" customFormat="1" ht="16.5" customHeight="1"/>
    <row r="15" spans="2:20" ht="4.5" customHeight="1" thickBot="1">
      <c r="B15" s="1"/>
      <c r="F15" s="8"/>
      <c r="S15" s="90"/>
      <c r="T15" s="90"/>
    </row>
    <row r="16" spans="2:20" ht="13.5" thickBot="1">
      <c r="B16" s="1" t="s">
        <v>238</v>
      </c>
      <c r="C16" s="140">
        <f>Lookup!K27</f>
        <v>125000</v>
      </c>
      <c r="F16" s="171"/>
      <c r="G16" s="171"/>
      <c r="H16" s="2"/>
      <c r="I16" s="2"/>
      <c r="J16" s="2"/>
      <c r="S16" s="90"/>
      <c r="T16" s="90"/>
    </row>
    <row r="17" spans="2:20" ht="4.5" customHeight="1" thickBot="1">
      <c r="B17" s="1"/>
      <c r="F17" s="8"/>
      <c r="S17" s="90"/>
      <c r="T17" s="90"/>
    </row>
    <row r="18" spans="2:20" ht="16.5" customHeight="1" thickBot="1">
      <c r="B18" s="19" t="s">
        <v>239</v>
      </c>
      <c r="C18" s="147">
        <v>450000</v>
      </c>
      <c r="F18" s="2"/>
      <c r="G18" s="2"/>
      <c r="H18" s="2"/>
      <c r="I18" s="2"/>
      <c r="J18" s="2"/>
      <c r="S18" s="90"/>
      <c r="T18" s="90"/>
    </row>
    <row r="19" spans="2:20" ht="4.5" customHeight="1" thickBot="1">
      <c r="B19" s="1"/>
      <c r="C19">
        <v>0</v>
      </c>
      <c r="F19" s="8"/>
      <c r="S19" s="90"/>
      <c r="T19" s="90"/>
    </row>
    <row r="20" spans="2:20" ht="16.5" customHeight="1" thickBot="1">
      <c r="B20" s="19" t="s">
        <v>240</v>
      </c>
      <c r="C20" s="142"/>
      <c r="F20" s="2"/>
      <c r="G20" s="2"/>
      <c r="H20" s="2"/>
      <c r="I20" s="2"/>
      <c r="J20" s="2"/>
      <c r="S20" s="90"/>
      <c r="T20" s="90"/>
    </row>
    <row r="21" spans="2:20" ht="2.25" customHeight="1" thickBot="1">
      <c r="B21" s="19"/>
      <c r="F21" s="2"/>
      <c r="G21" s="2"/>
      <c r="H21" s="2"/>
      <c r="I21" s="2"/>
      <c r="J21" s="2"/>
      <c r="S21" s="90"/>
      <c r="T21" s="90"/>
    </row>
    <row r="22" spans="2:20" ht="16.5" customHeight="1" thickBot="1">
      <c r="B22" s="19" t="s">
        <v>241</v>
      </c>
      <c r="C22" s="140">
        <f>IF(K32&gt;=C16,C16,K32)</f>
        <v>50000</v>
      </c>
      <c r="F22" s="2"/>
      <c r="G22" s="2"/>
      <c r="H22" s="2"/>
      <c r="I22" s="2"/>
      <c r="J22" s="2"/>
      <c r="S22" s="90"/>
      <c r="T22" s="90"/>
    </row>
    <row r="23" spans="6:20" ht="4.5" customHeight="1">
      <c r="F23" s="8"/>
      <c r="S23" s="90"/>
      <c r="T23" s="90"/>
    </row>
    <row r="24" spans="2:20" ht="12.75">
      <c r="B24" t="s">
        <v>47</v>
      </c>
      <c r="E24" s="103"/>
      <c r="F24" s="112"/>
      <c r="G24" s="113">
        <f>'Death Chargeable Gifts'!Q41</f>
        <v>0</v>
      </c>
      <c r="H24" s="113">
        <f>'Death Chargeable Gifts'!Y41</f>
        <v>0</v>
      </c>
      <c r="I24" s="113">
        <f>'Death Chargeable Gifts'!AA41</f>
        <v>0</v>
      </c>
      <c r="J24" s="113">
        <f>'Death Chargeable Gifts'!AB41</f>
        <v>0</v>
      </c>
      <c r="S24" s="90"/>
      <c r="T24" s="90"/>
    </row>
    <row r="25" spans="5:10" ht="4.5" customHeight="1">
      <c r="E25" s="103"/>
      <c r="F25" s="112"/>
      <c r="G25" s="101"/>
      <c r="H25" s="113"/>
      <c r="I25" s="113"/>
      <c r="J25" s="113"/>
    </row>
    <row r="26" spans="2:10" ht="12.75">
      <c r="B26" t="s">
        <v>50</v>
      </c>
      <c r="E26" s="103"/>
      <c r="F26" s="113">
        <f>Estate!F73-Estate!F53-Estate!F55</f>
        <v>2100000</v>
      </c>
      <c r="G26" s="101"/>
      <c r="H26" s="113"/>
      <c r="I26" s="113"/>
      <c r="J26" s="113"/>
    </row>
    <row r="27" spans="5:10" ht="4.5" customHeight="1">
      <c r="E27" s="103"/>
      <c r="F27" s="112"/>
      <c r="G27" s="113"/>
      <c r="H27" s="113"/>
      <c r="I27" s="113"/>
      <c r="J27" s="113"/>
    </row>
    <row r="28" spans="2:10" ht="12.75">
      <c r="B28" t="s">
        <v>159</v>
      </c>
      <c r="E28" s="103"/>
      <c r="F28" s="113">
        <f>IF(orderOfDeath=1,Estate!F49,0)</f>
        <v>0</v>
      </c>
      <c r="G28" s="101"/>
      <c r="H28" s="113"/>
      <c r="I28" s="113"/>
      <c r="J28" s="113"/>
    </row>
    <row r="29" spans="5:10" ht="4.5" customHeight="1" thickBot="1">
      <c r="E29" s="103"/>
      <c r="F29" s="112"/>
      <c r="G29" s="113"/>
      <c r="H29" s="113"/>
      <c r="I29" s="113"/>
      <c r="J29" s="113"/>
    </row>
    <row r="30" spans="2:11" ht="13.5" thickBot="1">
      <c r="B30" t="s">
        <v>160</v>
      </c>
      <c r="E30" s="103"/>
      <c r="F30" s="113">
        <f>'Hypothetical Tax Calc'!F67+'Hypothetical Tax Calc'!D69</f>
        <v>0</v>
      </c>
      <c r="G30" s="101"/>
      <c r="H30" s="113"/>
      <c r="I30" s="113"/>
      <c r="J30" s="113"/>
      <c r="K30" s="140">
        <f>C16+C16*C20</f>
        <v>125000</v>
      </c>
    </row>
    <row r="31" spans="5:10" ht="4.5" customHeight="1" thickBot="1">
      <c r="E31" s="103"/>
      <c r="F31" s="112"/>
      <c r="G31" s="113"/>
      <c r="H31" s="113"/>
      <c r="I31" s="113"/>
      <c r="J31" s="113"/>
    </row>
    <row r="32" spans="2:11" ht="13.5" thickBot="1">
      <c r="B32" t="s">
        <v>161</v>
      </c>
      <c r="E32" s="103"/>
      <c r="F32" s="113">
        <f>'Hypothetical Tax Calc'!F47</f>
        <v>0</v>
      </c>
      <c r="G32" s="101"/>
      <c r="H32" s="113"/>
      <c r="I32" s="113"/>
      <c r="J32" s="113"/>
      <c r="K32" s="140">
        <f>IF(((E34-2000000)/2)&lt;0,0,(E34-2000000)/2)</f>
        <v>50000</v>
      </c>
    </row>
    <row r="33" spans="5:10" ht="4.5" customHeight="1" thickBot="1">
      <c r="E33" s="103"/>
      <c r="F33" s="114"/>
      <c r="G33" s="113"/>
      <c r="H33" s="113"/>
      <c r="I33" s="113"/>
      <c r="J33" s="113"/>
    </row>
    <row r="34" spans="5:10" ht="12.75">
      <c r="E34" s="103">
        <f>G24+F26</f>
        <v>2100000</v>
      </c>
      <c r="F34" s="113">
        <f>F26-F28-F30-F32</f>
        <v>2100000</v>
      </c>
      <c r="G34" s="113"/>
      <c r="H34" s="113"/>
      <c r="I34" s="113"/>
      <c r="J34" s="113"/>
    </row>
    <row r="35" spans="5:10" ht="5.25" customHeight="1">
      <c r="E35" s="103"/>
      <c r="F35" s="113"/>
      <c r="G35" s="113"/>
      <c r="H35" s="113"/>
      <c r="I35" s="113"/>
      <c r="J35" s="113"/>
    </row>
    <row r="36" spans="2:10" ht="12.75">
      <c r="B36" s="146" t="s">
        <v>238</v>
      </c>
      <c r="E36" s="103">
        <f>C18</f>
        <v>450000</v>
      </c>
      <c r="F36" s="113">
        <f>ROUND(IF(K30&gt;=E36,E36,K30)-C22,0)</f>
        <v>75000</v>
      </c>
      <c r="G36" s="113"/>
      <c r="H36" s="113"/>
      <c r="I36" s="113"/>
      <c r="J36" s="113"/>
    </row>
    <row r="37" spans="5:10" ht="3.75" customHeight="1">
      <c r="E37" s="103"/>
      <c r="F37" s="113"/>
      <c r="G37" s="113"/>
      <c r="H37" s="113"/>
      <c r="I37" s="113"/>
      <c r="J37" s="113"/>
    </row>
    <row r="38" spans="5:10" ht="4.5" customHeight="1">
      <c r="E38" s="103"/>
      <c r="F38" s="113"/>
      <c r="G38" s="113"/>
      <c r="H38" s="113"/>
      <c r="I38" s="113"/>
      <c r="J38" s="113"/>
    </row>
    <row r="39" spans="2:10" ht="13.5" thickBot="1">
      <c r="B39" t="s">
        <v>51</v>
      </c>
      <c r="E39" s="103">
        <f>F34+F43</f>
        <v>2100000</v>
      </c>
      <c r="F39" s="115">
        <f>IF(ISERR(ROUND(IF(nil_rate_tax_band-transferwithin7years&gt;0,(nil_rate_tax_band-transferwithin7years)*F34/E39,0),2)),"",(ROUND(IF(nil_rate_tax_band-transferwithin7years&gt;0,(nil_rate_tax_band-transferwithin7years)*F34/E39,0),2)))</f>
        <v>325000</v>
      </c>
      <c r="G39" s="113"/>
      <c r="H39" s="113"/>
      <c r="I39" s="113"/>
      <c r="J39" s="113"/>
    </row>
    <row r="40" spans="5:10" ht="12.75">
      <c r="E40" s="103"/>
      <c r="F40" s="146"/>
      <c r="G40" s="113"/>
      <c r="H40" s="113"/>
      <c r="I40" s="113"/>
      <c r="J40" s="113"/>
    </row>
    <row r="41" spans="5:10" ht="12.75">
      <c r="E41" s="103"/>
      <c r="F41" s="112"/>
      <c r="G41" s="113">
        <f>IF(ISERR(F34-F36-F39),"",IF(F34-F36-F39&lt;0,0,F34-F36-F39))</f>
        <v>1700000</v>
      </c>
      <c r="H41" s="113">
        <f>IF(ISERR(G41*C10),"",G41*C10)</f>
        <v>680000</v>
      </c>
      <c r="I41" s="113">
        <f>H41</f>
        <v>680000</v>
      </c>
      <c r="J41" s="113"/>
    </row>
    <row r="42" spans="5:10" ht="4.5" customHeight="1">
      <c r="E42" s="103"/>
      <c r="F42" s="112"/>
      <c r="G42" s="113"/>
      <c r="H42" s="113"/>
      <c r="I42" s="113"/>
      <c r="J42" s="113"/>
    </row>
    <row r="43" spans="2:10" ht="12.75">
      <c r="B43" t="s">
        <v>17</v>
      </c>
      <c r="E43" s="103"/>
      <c r="F43" s="113">
        <f>assetsintrustestate</f>
        <v>0</v>
      </c>
      <c r="G43" s="101"/>
      <c r="H43" s="101" t="s">
        <v>32</v>
      </c>
      <c r="I43" s="101" t="s">
        <v>32</v>
      </c>
      <c r="J43" s="113"/>
    </row>
    <row r="44" spans="5:10" ht="4.5" customHeight="1">
      <c r="E44" s="103"/>
      <c r="F44" s="113"/>
      <c r="G44" s="113"/>
      <c r="H44" s="113"/>
      <c r="I44" s="113"/>
      <c r="J44" s="113"/>
    </row>
    <row r="45" spans="2:10" ht="13.5" thickBot="1">
      <c r="B45" t="s">
        <v>51</v>
      </c>
      <c r="E45" s="103"/>
      <c r="F45" s="115">
        <f>IF(ISERR(ROUND(IF(nil_rate_tax_band-'Death Chargeable Gifts'!Q45&gt;0,(nil_rate_tax_band-'Death Chargeable Gifts'!Q45)*F43/E39,0),2)),"",(ROUND(IF(nil_rate_tax_band-'Death Chargeable Gifts'!Q45&gt;0,(nil_rate_tax_band-'Death Chargeable Gifts'!Q45)*F43/E39,0),2)))</f>
        <v>0</v>
      </c>
      <c r="G45" s="113"/>
      <c r="H45" s="113"/>
      <c r="I45" s="113"/>
      <c r="J45" s="113"/>
    </row>
    <row r="46" spans="5:10" ht="12.75">
      <c r="E46" s="103"/>
      <c r="F46" s="112"/>
      <c r="G46" s="113">
        <f>IF(ISERR(F43-F45),"",IF(F43-F45&lt;0,0,F43-F45))</f>
        <v>0</v>
      </c>
      <c r="H46" s="113">
        <f>IF(ISERR(G46*C10),"",G46*C10)</f>
        <v>0</v>
      </c>
      <c r="I46" s="113"/>
      <c r="J46" s="113">
        <f>H46</f>
        <v>0</v>
      </c>
    </row>
    <row r="47" spans="5:10" ht="4.5" customHeight="1" thickBot="1">
      <c r="E47" s="103"/>
      <c r="F47" s="112"/>
      <c r="G47" s="113"/>
      <c r="H47" s="113"/>
      <c r="I47" s="113"/>
      <c r="J47" s="113"/>
    </row>
    <row r="48" spans="2:10" ht="13.5" thickBot="1">
      <c r="B48" s="1" t="s">
        <v>112</v>
      </c>
      <c r="E48" s="103"/>
      <c r="F48" s="112"/>
      <c r="G48" s="113"/>
      <c r="H48" s="102">
        <f>SUM(H13:H46)</f>
        <v>680000</v>
      </c>
      <c r="I48" s="102">
        <f>SUM(I24:I46)</f>
        <v>680000</v>
      </c>
      <c r="J48" s="102">
        <f>SUM(J24:J46)</f>
        <v>0</v>
      </c>
    </row>
    <row r="49" spans="1:10" ht="13.5" thickBot="1">
      <c r="A49" s="145" t="b">
        <v>0</v>
      </c>
      <c r="E49" s="103"/>
      <c r="F49" s="112"/>
      <c r="G49" s="112"/>
      <c r="H49" s="112"/>
      <c r="I49" s="112"/>
      <c r="J49" s="112"/>
    </row>
    <row r="50" spans="2:10" ht="13.5" thickBot="1">
      <c r="B50" s="1" t="s">
        <v>114</v>
      </c>
      <c r="E50" s="103"/>
      <c r="F50" s="112"/>
      <c r="G50" s="112"/>
      <c r="H50" s="102">
        <f>SUM(I50:J50)</f>
        <v>0</v>
      </c>
      <c r="I50" s="102">
        <f>IF(donortaxpaid&gt;I24,I24,donortaxpaid)</f>
        <v>0</v>
      </c>
      <c r="J50" s="102">
        <f>IF(doneetaxpaid&gt;J24,J24,doneetaxpaid)</f>
        <v>0</v>
      </c>
    </row>
    <row r="51" spans="2:10" ht="13.5" thickBot="1">
      <c r="B51" s="1"/>
      <c r="E51" s="103"/>
      <c r="F51" s="112"/>
      <c r="G51" s="112"/>
      <c r="H51" s="113"/>
      <c r="I51" s="113"/>
      <c r="J51" s="113"/>
    </row>
    <row r="52" spans="2:10" ht="13.5" thickBot="1">
      <c r="B52" s="1" t="s">
        <v>281</v>
      </c>
      <c r="E52" s="103"/>
      <c r="F52" s="112"/>
      <c r="G52" s="164"/>
      <c r="H52" s="102">
        <f>IF(QSR!E49&lt;=(H48-H50),QSR!E49,('Tax Payable'!H48-'Tax Payable'!H50))</f>
        <v>3885</v>
      </c>
      <c r="I52" s="102">
        <f>H52</f>
        <v>3885</v>
      </c>
      <c r="J52" s="102"/>
    </row>
    <row r="53" spans="5:10" ht="13.5" thickBot="1">
      <c r="E53" s="103"/>
      <c r="F53" s="112"/>
      <c r="G53" s="112"/>
      <c r="H53" s="112"/>
      <c r="I53" s="103"/>
      <c r="J53" s="103"/>
    </row>
    <row r="54" spans="2:10" ht="13.5" thickBot="1">
      <c r="B54" s="1" t="s">
        <v>113</v>
      </c>
      <c r="E54" s="103"/>
      <c r="F54" s="112"/>
      <c r="G54" s="112"/>
      <c r="H54" s="102">
        <f>H48-H50-H52</f>
        <v>676115</v>
      </c>
      <c r="I54" s="102">
        <f>I48-I50-I52</f>
        <v>676115</v>
      </c>
      <c r="J54" s="102">
        <f>J48-J50</f>
        <v>0</v>
      </c>
    </row>
    <row r="55" spans="5:10" ht="12.75">
      <c r="E55" s="103"/>
      <c r="F55" s="103"/>
      <c r="G55" s="112"/>
      <c r="H55" s="112"/>
      <c r="I55" s="103"/>
      <c r="J55" s="103"/>
    </row>
    <row r="56" spans="2:10" ht="12.75">
      <c r="B56" s="144" t="s">
        <v>234</v>
      </c>
      <c r="E56" s="103"/>
      <c r="F56" s="103"/>
      <c r="G56" s="103"/>
      <c r="H56" s="103"/>
      <c r="I56" s="103"/>
      <c r="J56" s="103"/>
    </row>
    <row r="57" spans="5:10" ht="4.5" customHeight="1">
      <c r="E57" s="103"/>
      <c r="F57" s="103"/>
      <c r="G57" s="103"/>
      <c r="H57" s="103"/>
      <c r="I57" s="103"/>
      <c r="J57" s="103"/>
    </row>
    <row r="58" spans="2:15" ht="12.75">
      <c r="B58" s="144" t="s">
        <v>235</v>
      </c>
      <c r="O58" s="1"/>
    </row>
    <row r="59" ht="4.5" customHeight="1"/>
    <row r="61" ht="4.5" customHeight="1"/>
    <row r="63" ht="4.5" customHeight="1"/>
  </sheetData>
  <sheetProtection/>
  <mergeCells count="4">
    <mergeCell ref="F10:G10"/>
    <mergeCell ref="C4:H4"/>
    <mergeCell ref="C6:H6"/>
    <mergeCell ref="F16:G16"/>
  </mergeCells>
  <printOptions/>
  <pageMargins left="0.75" right="0.75" top="1" bottom="1" header="0.5" footer="0.5"/>
  <pageSetup fitToHeight="1" fitToWidth="1" horizontalDpi="600" verticalDpi="600" orientation="landscape" paperSize="9" scale="79" r:id="rId4"/>
  <drawing r:id="rId3"/>
  <legacyDrawing r:id="rId2"/>
</worksheet>
</file>

<file path=xl/worksheets/sheet4.xml><?xml version="1.0" encoding="utf-8"?>
<worksheet xmlns="http://schemas.openxmlformats.org/spreadsheetml/2006/main" xmlns:r="http://schemas.openxmlformats.org/officeDocument/2006/relationships">
  <sheetPr codeName="Sheet2">
    <pageSetUpPr fitToPage="1"/>
  </sheetPr>
  <dimension ref="A1:X83"/>
  <sheetViews>
    <sheetView showGridLines="0" showRowColHeaders="0" showZeros="0" showOutlineSymbols="0" zoomScalePageLayoutView="0" workbookViewId="0" topLeftCell="A1">
      <selection activeCell="C5" sqref="C5:D5"/>
    </sheetView>
  </sheetViews>
  <sheetFormatPr defaultColWidth="9.00390625" defaultRowHeight="12.75"/>
  <cols>
    <col min="1" max="1" width="4.50390625" style="0" customWidth="1"/>
    <col min="2" max="2" width="38.875" style="0" customWidth="1"/>
    <col min="3" max="3" width="16.125" style="0" customWidth="1"/>
    <col min="4" max="4" width="14.50390625" style="0" customWidth="1"/>
    <col min="5" max="5" width="3.125" style="0" customWidth="1"/>
    <col min="6" max="6" width="14.50390625" style="0" customWidth="1"/>
    <col min="8" max="8" width="14.50390625" style="0" customWidth="1"/>
    <col min="10" max="10" width="14.50390625" style="0" customWidth="1"/>
    <col min="13" max="13" width="7.625" style="0" customWidth="1"/>
    <col min="14" max="14" width="8.625" style="0" hidden="1" customWidth="1"/>
    <col min="15" max="15" width="13.50390625" style="0" hidden="1" customWidth="1"/>
    <col min="16" max="16" width="9.125" style="0" hidden="1" customWidth="1"/>
    <col min="17" max="17" width="11.625" style="0" hidden="1" customWidth="1"/>
    <col min="18" max="18" width="9.125" style="0" hidden="1" customWidth="1"/>
    <col min="19" max="19" width="11.125" style="0" hidden="1" customWidth="1"/>
    <col min="20" max="20" width="9.125" style="0" hidden="1" customWidth="1"/>
    <col min="21" max="21" width="11.125" style="0" hidden="1" customWidth="1"/>
    <col min="22" max="22" width="9.125" style="0" hidden="1" customWidth="1"/>
    <col min="23" max="23" width="9.375" style="0" hidden="1" customWidth="1"/>
    <col min="24" max="24" width="9.00390625" style="0" hidden="1" customWidth="1"/>
  </cols>
  <sheetData>
    <row r="1" ht="21" customHeight="1">
      <c r="A1" t="s">
        <v>32</v>
      </c>
    </row>
    <row r="2" spans="1:24" ht="35.25" customHeight="1">
      <c r="A2" t="s">
        <v>201</v>
      </c>
      <c r="F2" s="55"/>
      <c r="W2" s="55" t="s">
        <v>196</v>
      </c>
      <c r="X2" s="55">
        <v>1</v>
      </c>
    </row>
    <row r="3" spans="3:24" s="3" customFormat="1" ht="15.75">
      <c r="C3" s="3" t="s">
        <v>26</v>
      </c>
      <c r="S3" s="3" t="s">
        <v>188</v>
      </c>
      <c r="U3" s="3" t="s">
        <v>188</v>
      </c>
      <c r="W3" s="55" t="s">
        <v>197</v>
      </c>
      <c r="X3" s="122"/>
    </row>
    <row r="4" spans="6:19" ht="4.5" customHeight="1" thickBot="1">
      <c r="F4" s="55"/>
      <c r="S4" t="s">
        <v>188</v>
      </c>
    </row>
    <row r="5" spans="2:21" ht="13.5" thickBot="1">
      <c r="B5" s="1" t="s">
        <v>13</v>
      </c>
      <c r="C5" s="177" t="s">
        <v>125</v>
      </c>
      <c r="D5" s="178"/>
      <c r="F5" s="29" t="s">
        <v>185</v>
      </c>
      <c r="H5" s="29" t="s">
        <v>122</v>
      </c>
      <c r="J5" s="29" t="s">
        <v>123</v>
      </c>
      <c r="S5" t="s">
        <v>186</v>
      </c>
      <c r="U5" t="s">
        <v>187</v>
      </c>
    </row>
    <row r="6" ht="4.5" customHeight="1" thickBot="1"/>
    <row r="7" spans="2:17" ht="13.5" thickBot="1">
      <c r="B7" s="1" t="str">
        <f>IF(deathreview=1,"Date of Review","Date of Death")</f>
        <v>Date of Death</v>
      </c>
      <c r="D7" s="14">
        <v>43220</v>
      </c>
      <c r="F7" s="2" t="s">
        <v>12</v>
      </c>
      <c r="H7" s="2" t="s">
        <v>12</v>
      </c>
      <c r="J7" s="2" t="s">
        <v>12</v>
      </c>
      <c r="O7" s="55"/>
      <c r="Q7" s="55"/>
    </row>
    <row r="8" spans="15:17" ht="4.5" customHeight="1" thickBot="1">
      <c r="O8" s="55"/>
      <c r="Q8" s="55"/>
    </row>
    <row r="9" spans="2:21" ht="13.5" thickBot="1">
      <c r="B9" t="s">
        <v>0</v>
      </c>
      <c r="D9" s="103"/>
      <c r="E9" s="103"/>
      <c r="F9" s="108"/>
      <c r="G9" s="103"/>
      <c r="H9" s="108"/>
      <c r="I9" s="103"/>
      <c r="J9" s="108">
        <v>0</v>
      </c>
      <c r="O9" s="108">
        <v>100000</v>
      </c>
      <c r="Q9" s="108">
        <v>850000</v>
      </c>
      <c r="S9" s="12">
        <f>Q9</f>
        <v>850000</v>
      </c>
      <c r="U9" s="12">
        <f>O9</f>
        <v>100000</v>
      </c>
    </row>
    <row r="10" spans="4:21" ht="4.5" customHeight="1" thickBot="1">
      <c r="D10" s="103"/>
      <c r="E10" s="103"/>
      <c r="F10" s="103"/>
      <c r="G10" s="103"/>
      <c r="H10" s="103"/>
      <c r="I10" s="103"/>
      <c r="J10" s="103"/>
      <c r="O10" s="103"/>
      <c r="Q10" s="103"/>
      <c r="S10" s="55"/>
      <c r="U10" s="12">
        <f aca="true" t="shared" si="0" ref="U10:U46">O10</f>
        <v>0</v>
      </c>
    </row>
    <row r="11" spans="2:21" ht="13.5" thickBot="1">
      <c r="B11" t="s">
        <v>1</v>
      </c>
      <c r="D11" s="103"/>
      <c r="E11" s="103"/>
      <c r="F11" s="108">
        <v>1650000</v>
      </c>
      <c r="G11" s="103"/>
      <c r="H11" s="108">
        <v>0</v>
      </c>
      <c r="I11" s="103"/>
      <c r="J11" s="108">
        <v>0</v>
      </c>
      <c r="O11" s="108">
        <v>0</v>
      </c>
      <c r="Q11" s="108">
        <v>0</v>
      </c>
      <c r="S11" s="12">
        <f aca="true" t="shared" si="1" ref="S11:S43">Q11</f>
        <v>0</v>
      </c>
      <c r="U11" s="12">
        <f t="shared" si="0"/>
        <v>0</v>
      </c>
    </row>
    <row r="12" spans="4:21" ht="4.5" customHeight="1" thickBot="1">
      <c r="D12" s="103"/>
      <c r="E12" s="103"/>
      <c r="F12" s="103"/>
      <c r="G12" s="103"/>
      <c r="H12" s="103">
        <v>0</v>
      </c>
      <c r="I12" s="103"/>
      <c r="J12" s="103"/>
      <c r="O12" s="103"/>
      <c r="Q12" s="103">
        <v>0</v>
      </c>
      <c r="S12" s="12">
        <f t="shared" si="1"/>
        <v>0</v>
      </c>
      <c r="U12" s="12">
        <f t="shared" si="0"/>
        <v>0</v>
      </c>
    </row>
    <row r="13" spans="2:21" ht="13.5" thickBot="1">
      <c r="B13" t="s">
        <v>6</v>
      </c>
      <c r="D13" s="103"/>
      <c r="E13" s="103"/>
      <c r="F13" s="108">
        <v>0</v>
      </c>
      <c r="G13" s="103"/>
      <c r="H13" s="108">
        <v>0</v>
      </c>
      <c r="I13" s="103"/>
      <c r="J13" s="108">
        <v>0</v>
      </c>
      <c r="O13" s="108">
        <v>0</v>
      </c>
      <c r="Q13" s="108">
        <v>0</v>
      </c>
      <c r="S13" s="12">
        <f t="shared" si="1"/>
        <v>0</v>
      </c>
      <c r="U13" s="12">
        <f t="shared" si="0"/>
        <v>0</v>
      </c>
    </row>
    <row r="14" spans="2:21" ht="13.5" thickBot="1">
      <c r="B14" t="s">
        <v>7</v>
      </c>
      <c r="D14" s="103"/>
      <c r="E14" s="103"/>
      <c r="F14" s="103"/>
      <c r="G14" s="103"/>
      <c r="H14" s="103"/>
      <c r="I14" s="103"/>
      <c r="J14" s="103"/>
      <c r="O14" s="103"/>
      <c r="Q14" s="103"/>
      <c r="S14" s="12">
        <f t="shared" si="1"/>
        <v>0</v>
      </c>
      <c r="U14" s="12">
        <f t="shared" si="0"/>
        <v>0</v>
      </c>
    </row>
    <row r="15" spans="4:21" ht="4.5" customHeight="1" thickBot="1">
      <c r="D15" s="103"/>
      <c r="E15" s="103"/>
      <c r="F15" s="103"/>
      <c r="G15" s="103"/>
      <c r="H15" s="103"/>
      <c r="I15" s="103"/>
      <c r="J15" s="103"/>
      <c r="O15" s="103"/>
      <c r="Q15" s="103"/>
      <c r="S15" s="12">
        <f t="shared" si="1"/>
        <v>0</v>
      </c>
      <c r="U15" s="12">
        <f t="shared" si="0"/>
        <v>0</v>
      </c>
    </row>
    <row r="16" spans="2:21" ht="13.5" thickBot="1">
      <c r="B16" t="s">
        <v>8</v>
      </c>
      <c r="D16" s="103"/>
      <c r="E16" s="103"/>
      <c r="F16" s="108">
        <v>0</v>
      </c>
      <c r="G16" s="103"/>
      <c r="H16" s="108">
        <v>0</v>
      </c>
      <c r="I16" s="103"/>
      <c r="J16" s="108">
        <v>0</v>
      </c>
      <c r="O16" s="108">
        <v>0</v>
      </c>
      <c r="Q16" s="108">
        <v>0</v>
      </c>
      <c r="S16" s="12">
        <f t="shared" si="1"/>
        <v>0</v>
      </c>
      <c r="U16" s="12">
        <f t="shared" si="0"/>
        <v>0</v>
      </c>
    </row>
    <row r="17" spans="4:21" ht="4.5" customHeight="1" thickBot="1">
      <c r="D17" s="103"/>
      <c r="E17" s="103"/>
      <c r="F17" s="103"/>
      <c r="G17" s="103"/>
      <c r="H17" s="103">
        <v>0</v>
      </c>
      <c r="I17" s="103"/>
      <c r="J17" s="103"/>
      <c r="O17" s="103"/>
      <c r="Q17" s="103">
        <v>0</v>
      </c>
      <c r="S17" s="12">
        <f t="shared" si="1"/>
        <v>0</v>
      </c>
      <c r="U17" s="12">
        <f t="shared" si="0"/>
        <v>0</v>
      </c>
    </row>
    <row r="18" spans="2:21" ht="13.5" thickBot="1">
      <c r="B18" t="s">
        <v>4</v>
      </c>
      <c r="D18" s="103"/>
      <c r="E18" s="103"/>
      <c r="F18" s="108">
        <v>0</v>
      </c>
      <c r="G18" s="103"/>
      <c r="H18" s="108">
        <v>0</v>
      </c>
      <c r="I18" s="103"/>
      <c r="J18" s="108">
        <v>0</v>
      </c>
      <c r="O18" s="108">
        <v>0</v>
      </c>
      <c r="Q18" s="108">
        <v>0</v>
      </c>
      <c r="S18" s="12">
        <f t="shared" si="1"/>
        <v>0</v>
      </c>
      <c r="U18" s="12">
        <f t="shared" si="0"/>
        <v>0</v>
      </c>
    </row>
    <row r="19" spans="4:21" ht="4.5" customHeight="1" thickBot="1">
      <c r="D19" s="103"/>
      <c r="E19" s="103"/>
      <c r="F19" s="103"/>
      <c r="G19" s="103"/>
      <c r="H19" s="103"/>
      <c r="I19" s="103"/>
      <c r="J19" s="103"/>
      <c r="O19" s="103"/>
      <c r="Q19" s="103"/>
      <c r="S19" s="12">
        <f t="shared" si="1"/>
        <v>0</v>
      </c>
      <c r="U19" s="12">
        <f t="shared" si="0"/>
        <v>0</v>
      </c>
    </row>
    <row r="20" spans="2:21" ht="13.5" thickBot="1">
      <c r="B20" t="s">
        <v>2</v>
      </c>
      <c r="D20" s="103"/>
      <c r="E20" s="103"/>
      <c r="F20" s="108">
        <v>0</v>
      </c>
      <c r="G20" s="103"/>
      <c r="H20" s="108">
        <v>0</v>
      </c>
      <c r="I20" s="103"/>
      <c r="J20" s="108">
        <v>0</v>
      </c>
      <c r="O20" s="108">
        <v>0</v>
      </c>
      <c r="Q20" s="108">
        <v>0</v>
      </c>
      <c r="S20" s="12">
        <f t="shared" si="1"/>
        <v>0</v>
      </c>
      <c r="U20" s="12">
        <f t="shared" si="0"/>
        <v>0</v>
      </c>
    </row>
    <row r="21" spans="4:21" ht="4.5" customHeight="1" thickBot="1">
      <c r="D21" s="103"/>
      <c r="E21" s="103"/>
      <c r="F21" s="103"/>
      <c r="G21" s="103"/>
      <c r="H21" s="103"/>
      <c r="I21" s="103"/>
      <c r="J21" s="103"/>
      <c r="O21" s="103"/>
      <c r="Q21" s="103"/>
      <c r="S21" s="12">
        <f t="shared" si="1"/>
        <v>0</v>
      </c>
      <c r="U21" s="12">
        <f t="shared" si="0"/>
        <v>0</v>
      </c>
    </row>
    <row r="22" spans="2:21" ht="13.5" thickBot="1">
      <c r="B22" t="s">
        <v>109</v>
      </c>
      <c r="D22" s="103"/>
      <c r="E22" s="103"/>
      <c r="F22" s="108">
        <v>0</v>
      </c>
      <c r="G22" s="103"/>
      <c r="H22" s="108">
        <v>0</v>
      </c>
      <c r="I22" s="103"/>
      <c r="J22" s="108">
        <v>0</v>
      </c>
      <c r="O22" s="108">
        <v>0</v>
      </c>
      <c r="Q22" s="108">
        <v>0</v>
      </c>
      <c r="S22" s="12">
        <f t="shared" si="1"/>
        <v>0</v>
      </c>
      <c r="U22" s="12">
        <f t="shared" si="0"/>
        <v>0</v>
      </c>
    </row>
    <row r="23" spans="4:21" ht="4.5" customHeight="1" thickBot="1">
      <c r="D23" s="103"/>
      <c r="E23" s="103"/>
      <c r="F23" s="103"/>
      <c r="G23" s="103"/>
      <c r="H23" s="103"/>
      <c r="I23" s="103"/>
      <c r="J23" s="103"/>
      <c r="O23" s="103"/>
      <c r="Q23" s="103"/>
      <c r="S23" s="12">
        <f t="shared" si="1"/>
        <v>0</v>
      </c>
      <c r="U23" s="12">
        <f t="shared" si="0"/>
        <v>0</v>
      </c>
    </row>
    <row r="24" spans="2:21" ht="13.5" thickBot="1">
      <c r="B24" t="s">
        <v>3</v>
      </c>
      <c r="D24" s="103"/>
      <c r="E24" s="103"/>
      <c r="F24" s="108">
        <v>0</v>
      </c>
      <c r="G24" s="103"/>
      <c r="H24" s="108">
        <v>0</v>
      </c>
      <c r="I24" s="103"/>
      <c r="J24" s="108">
        <v>0</v>
      </c>
      <c r="O24" s="108">
        <v>0</v>
      </c>
      <c r="Q24" s="108">
        <v>0</v>
      </c>
      <c r="S24" s="12">
        <f t="shared" si="1"/>
        <v>0</v>
      </c>
      <c r="U24" s="12">
        <f t="shared" si="0"/>
        <v>0</v>
      </c>
    </row>
    <row r="25" spans="2:21" ht="13.5" thickBot="1">
      <c r="B25" t="s">
        <v>5</v>
      </c>
      <c r="D25" s="103"/>
      <c r="E25" s="103"/>
      <c r="F25" s="103"/>
      <c r="G25" s="103"/>
      <c r="H25" s="103"/>
      <c r="I25" s="103"/>
      <c r="J25" s="103"/>
      <c r="O25" s="103"/>
      <c r="Q25" s="103"/>
      <c r="S25" s="12">
        <f t="shared" si="1"/>
        <v>0</v>
      </c>
      <c r="U25" s="12">
        <f t="shared" si="0"/>
        <v>0</v>
      </c>
    </row>
    <row r="26" spans="4:21" ht="4.5" customHeight="1" thickBot="1">
      <c r="D26" s="103"/>
      <c r="E26" s="103"/>
      <c r="F26" s="103"/>
      <c r="G26" s="103"/>
      <c r="H26" s="103"/>
      <c r="I26" s="103"/>
      <c r="J26" s="103"/>
      <c r="O26" s="103"/>
      <c r="Q26" s="103"/>
      <c r="S26" s="12">
        <f t="shared" si="1"/>
        <v>0</v>
      </c>
      <c r="U26" s="12">
        <f t="shared" si="0"/>
        <v>0</v>
      </c>
    </row>
    <row r="27" spans="2:21" ht="13.5" thickBot="1">
      <c r="B27" t="s">
        <v>9</v>
      </c>
      <c r="D27" s="103"/>
      <c r="E27" s="103"/>
      <c r="F27" s="108">
        <v>0</v>
      </c>
      <c r="G27" s="103"/>
      <c r="H27" s="108">
        <v>0</v>
      </c>
      <c r="I27" s="103"/>
      <c r="J27" s="108">
        <v>0</v>
      </c>
      <c r="O27" s="108">
        <v>0</v>
      </c>
      <c r="Q27" s="108">
        <v>0</v>
      </c>
      <c r="S27" s="12">
        <f t="shared" si="1"/>
        <v>0</v>
      </c>
      <c r="U27" s="12">
        <f t="shared" si="0"/>
        <v>0</v>
      </c>
    </row>
    <row r="28" spans="4:21" ht="4.5" customHeight="1" thickBot="1">
      <c r="D28" s="103"/>
      <c r="E28" s="103"/>
      <c r="F28" s="103"/>
      <c r="G28" s="103"/>
      <c r="H28" s="103"/>
      <c r="I28" s="103"/>
      <c r="J28" s="103"/>
      <c r="O28" s="103"/>
      <c r="Q28" s="103"/>
      <c r="S28" s="12">
        <f t="shared" si="1"/>
        <v>0</v>
      </c>
      <c r="U28" s="12">
        <f t="shared" si="0"/>
        <v>0</v>
      </c>
    </row>
    <row r="29" spans="2:21" ht="13.5" thickBot="1">
      <c r="B29" t="s">
        <v>18</v>
      </c>
      <c r="D29" s="125"/>
      <c r="E29" s="103"/>
      <c r="F29" s="108">
        <v>0</v>
      </c>
      <c r="G29" s="103"/>
      <c r="H29" s="108">
        <v>0</v>
      </c>
      <c r="I29" s="103"/>
      <c r="J29" s="108">
        <v>0</v>
      </c>
      <c r="O29" s="108">
        <v>0</v>
      </c>
      <c r="Q29" s="108">
        <v>0</v>
      </c>
      <c r="S29" s="12">
        <f t="shared" si="1"/>
        <v>0</v>
      </c>
      <c r="U29" s="12">
        <f t="shared" si="0"/>
        <v>0</v>
      </c>
    </row>
    <row r="30" spans="4:21" ht="4.5" customHeight="1" thickBot="1">
      <c r="D30" s="103"/>
      <c r="E30" s="103"/>
      <c r="F30" s="103"/>
      <c r="G30" s="103"/>
      <c r="H30" s="103">
        <v>0</v>
      </c>
      <c r="I30" s="103"/>
      <c r="J30" s="103"/>
      <c r="O30" s="103"/>
      <c r="Q30" s="103">
        <v>0</v>
      </c>
      <c r="S30" s="12">
        <f t="shared" si="1"/>
        <v>0</v>
      </c>
      <c r="U30" s="12">
        <f t="shared" si="0"/>
        <v>0</v>
      </c>
    </row>
    <row r="31" spans="2:21" ht="13.5" thickBot="1">
      <c r="B31" t="s">
        <v>198</v>
      </c>
      <c r="D31" s="103"/>
      <c r="E31" s="103"/>
      <c r="F31" s="108">
        <v>450000</v>
      </c>
      <c r="G31" s="103"/>
      <c r="H31" s="108">
        <v>0</v>
      </c>
      <c r="I31" s="103"/>
      <c r="J31" s="108">
        <v>0</v>
      </c>
      <c r="O31" s="108">
        <v>0</v>
      </c>
      <c r="Q31" s="108">
        <v>0</v>
      </c>
      <c r="S31" s="12">
        <f t="shared" si="1"/>
        <v>0</v>
      </c>
      <c r="U31" s="12">
        <f t="shared" si="0"/>
        <v>0</v>
      </c>
    </row>
    <row r="32" spans="4:21" ht="4.5" customHeight="1" thickBot="1">
      <c r="D32" s="103"/>
      <c r="E32" s="103"/>
      <c r="F32" s="103"/>
      <c r="G32" s="103"/>
      <c r="H32" s="103"/>
      <c r="I32" s="103"/>
      <c r="J32" s="103"/>
      <c r="O32" s="103"/>
      <c r="Q32" s="103"/>
      <c r="S32" s="12">
        <f t="shared" si="1"/>
        <v>0</v>
      </c>
      <c r="U32" s="12">
        <f t="shared" si="0"/>
        <v>0</v>
      </c>
    </row>
    <row r="33" spans="2:21" ht="13.5" thickBot="1">
      <c r="B33" t="s">
        <v>10</v>
      </c>
      <c r="D33" s="103"/>
      <c r="E33" s="103"/>
      <c r="F33" s="108">
        <v>0</v>
      </c>
      <c r="G33" s="103"/>
      <c r="H33" s="108">
        <v>0</v>
      </c>
      <c r="I33" s="103"/>
      <c r="J33" s="103"/>
      <c r="O33" s="108">
        <v>0</v>
      </c>
      <c r="Q33" s="108">
        <v>0</v>
      </c>
      <c r="S33" s="12">
        <f t="shared" si="1"/>
        <v>0</v>
      </c>
      <c r="U33" s="12">
        <f t="shared" si="0"/>
        <v>0</v>
      </c>
    </row>
    <row r="34" spans="4:21" ht="4.5" customHeight="1" thickBot="1">
      <c r="D34" s="103"/>
      <c r="E34" s="103"/>
      <c r="F34" s="103"/>
      <c r="G34" s="103"/>
      <c r="H34" s="103"/>
      <c r="I34" s="103"/>
      <c r="J34" s="103"/>
      <c r="O34" s="103"/>
      <c r="Q34" s="103"/>
      <c r="S34" s="12">
        <f t="shared" si="1"/>
        <v>0</v>
      </c>
      <c r="U34" s="12">
        <f t="shared" si="0"/>
        <v>0</v>
      </c>
    </row>
    <row r="35" spans="2:21" ht="13.5" thickBot="1">
      <c r="B35" t="s">
        <v>11</v>
      </c>
      <c r="D35" s="103"/>
      <c r="E35" s="103"/>
      <c r="F35" s="108">
        <v>0</v>
      </c>
      <c r="G35" s="103"/>
      <c r="H35" s="108">
        <v>0</v>
      </c>
      <c r="I35" s="103"/>
      <c r="J35" s="108">
        <v>0</v>
      </c>
      <c r="O35" s="108">
        <v>0</v>
      </c>
      <c r="Q35" s="108">
        <v>0</v>
      </c>
      <c r="S35" s="12">
        <f t="shared" si="1"/>
        <v>0</v>
      </c>
      <c r="U35" s="12">
        <f t="shared" si="0"/>
        <v>0</v>
      </c>
    </row>
    <row r="36" spans="4:21" ht="4.5" customHeight="1" thickBot="1">
      <c r="D36" s="103"/>
      <c r="E36" s="103"/>
      <c r="F36" s="103"/>
      <c r="G36" s="103"/>
      <c r="H36" s="103"/>
      <c r="I36" s="103"/>
      <c r="J36" s="103"/>
      <c r="O36" s="55"/>
      <c r="Q36" s="55"/>
      <c r="S36" s="12">
        <f t="shared" si="1"/>
        <v>0</v>
      </c>
      <c r="U36" s="12">
        <f t="shared" si="0"/>
        <v>0</v>
      </c>
    </row>
    <row r="37" spans="4:21" ht="13.5" thickBot="1">
      <c r="D37" s="103"/>
      <c r="E37" s="103"/>
      <c r="F37" s="116">
        <f>SUM(F9:F35)</f>
        <v>2100000</v>
      </c>
      <c r="G37" s="103"/>
      <c r="H37" s="103"/>
      <c r="I37" s="103"/>
      <c r="J37" s="103"/>
      <c r="O37" s="55"/>
      <c r="Q37" s="55"/>
      <c r="S37" s="55"/>
      <c r="U37" s="55"/>
    </row>
    <row r="38" spans="4:21" ht="4.5" customHeight="1" thickBot="1">
      <c r="D38" s="103"/>
      <c r="E38" s="103"/>
      <c r="F38" s="103"/>
      <c r="G38" s="103"/>
      <c r="H38" s="103"/>
      <c r="I38" s="103"/>
      <c r="J38" s="103"/>
      <c r="O38" s="55"/>
      <c r="Q38" s="55"/>
      <c r="S38" s="12">
        <f t="shared" si="1"/>
        <v>0</v>
      </c>
      <c r="U38" s="12">
        <f t="shared" si="0"/>
        <v>0</v>
      </c>
    </row>
    <row r="39" spans="2:21" ht="13.5" thickBot="1">
      <c r="B39" t="s">
        <v>14</v>
      </c>
      <c r="D39" s="103"/>
      <c r="E39" s="103"/>
      <c r="F39" s="108">
        <v>0</v>
      </c>
      <c r="G39" s="103"/>
      <c r="H39" s="108">
        <v>0</v>
      </c>
      <c r="I39" s="103"/>
      <c r="J39" s="108">
        <v>0</v>
      </c>
      <c r="O39" s="108">
        <v>0</v>
      </c>
      <c r="Q39" s="108">
        <v>0</v>
      </c>
      <c r="S39" s="12">
        <f t="shared" si="1"/>
        <v>0</v>
      </c>
      <c r="U39" s="12">
        <f t="shared" si="0"/>
        <v>0</v>
      </c>
    </row>
    <row r="40" spans="4:21" ht="4.5" customHeight="1" thickBot="1">
      <c r="D40" s="103"/>
      <c r="E40" s="103"/>
      <c r="F40" s="103"/>
      <c r="G40" s="103"/>
      <c r="H40" s="103"/>
      <c r="I40" s="103"/>
      <c r="J40" s="103"/>
      <c r="O40" s="103"/>
      <c r="Q40" s="103"/>
      <c r="S40" s="12">
        <f t="shared" si="1"/>
        <v>0</v>
      </c>
      <c r="U40" s="12">
        <f t="shared" si="0"/>
        <v>0</v>
      </c>
    </row>
    <row r="41" spans="2:21" ht="13.5" thickBot="1">
      <c r="B41" t="s">
        <v>15</v>
      </c>
      <c r="D41" s="103"/>
      <c r="E41" s="103"/>
      <c r="F41" s="108">
        <v>0</v>
      </c>
      <c r="G41" s="103"/>
      <c r="H41" s="108">
        <v>0</v>
      </c>
      <c r="I41" s="103"/>
      <c r="J41" s="108">
        <v>0</v>
      </c>
      <c r="O41" s="108">
        <v>0</v>
      </c>
      <c r="Q41" s="108">
        <v>0</v>
      </c>
      <c r="S41" s="12">
        <f t="shared" si="1"/>
        <v>0</v>
      </c>
      <c r="U41" s="12">
        <f t="shared" si="0"/>
        <v>0</v>
      </c>
    </row>
    <row r="42" spans="4:21" ht="4.5" customHeight="1" thickBot="1">
      <c r="D42" s="103"/>
      <c r="E42" s="103"/>
      <c r="F42" s="103"/>
      <c r="G42" s="103"/>
      <c r="H42" s="103"/>
      <c r="I42" s="103"/>
      <c r="J42" s="103"/>
      <c r="O42" s="55"/>
      <c r="Q42" s="55"/>
      <c r="S42" s="12">
        <f t="shared" si="1"/>
        <v>0</v>
      </c>
      <c r="U42" s="12">
        <f t="shared" si="0"/>
        <v>0</v>
      </c>
    </row>
    <row r="43" spans="2:21" ht="13.5" thickBot="1">
      <c r="B43" s="1" t="s">
        <v>32</v>
      </c>
      <c r="D43" s="103"/>
      <c r="E43" s="103"/>
      <c r="F43" s="103"/>
      <c r="G43" s="103"/>
      <c r="H43" s="117" t="s">
        <v>122</v>
      </c>
      <c r="I43" s="103"/>
      <c r="J43" s="117" t="s">
        <v>123</v>
      </c>
      <c r="O43" s="55"/>
      <c r="Q43" s="55"/>
      <c r="S43" s="12">
        <f t="shared" si="1"/>
        <v>0</v>
      </c>
      <c r="U43" s="12">
        <f t="shared" si="0"/>
        <v>0</v>
      </c>
    </row>
    <row r="44" spans="4:21" ht="4.5" customHeight="1" thickBot="1">
      <c r="D44" s="103"/>
      <c r="E44" s="103"/>
      <c r="F44" s="103"/>
      <c r="G44" s="103"/>
      <c r="H44" s="103"/>
      <c r="I44" s="103"/>
      <c r="J44" s="103"/>
      <c r="O44" s="55"/>
      <c r="Q44" s="55"/>
      <c r="U44" s="12">
        <f t="shared" si="0"/>
        <v>0</v>
      </c>
    </row>
    <row r="45" spans="2:21" ht="13.5" thickBot="1">
      <c r="B45" s="56" t="s">
        <v>124</v>
      </c>
      <c r="D45" s="116">
        <f>IF(orderOfDeath=1,jointassets/2,$J$45)</f>
        <v>0</v>
      </c>
      <c r="E45" s="103"/>
      <c r="F45" s="103"/>
      <c r="G45" s="118" t="s">
        <v>125</v>
      </c>
      <c r="H45" s="119">
        <f>SUM(H7:H43)</f>
        <v>0</v>
      </c>
      <c r="I45" s="103"/>
      <c r="J45" s="119">
        <f>SUM(J7:J43)</f>
        <v>0</v>
      </c>
      <c r="K45" s="6"/>
      <c r="O45" s="55"/>
      <c r="Q45" s="55"/>
      <c r="U45" s="12">
        <f t="shared" si="0"/>
        <v>0</v>
      </c>
    </row>
    <row r="46" spans="4:21" ht="4.5" customHeight="1" thickBot="1">
      <c r="D46" s="103"/>
      <c r="E46" s="103"/>
      <c r="F46" s="103"/>
      <c r="G46" s="118"/>
      <c r="H46" s="103"/>
      <c r="I46" s="103"/>
      <c r="J46" s="103"/>
      <c r="O46" s="55"/>
      <c r="U46" s="12">
        <f t="shared" si="0"/>
        <v>0</v>
      </c>
    </row>
    <row r="47" spans="2:15" ht="13.5" thickBot="1">
      <c r="B47" t="s">
        <v>129</v>
      </c>
      <c r="D47" s="116">
        <f>IF(orderOfDeath=1,"",H45-H47)</f>
      </c>
      <c r="E47" s="103"/>
      <c r="F47" s="103"/>
      <c r="G47" s="118" t="s">
        <v>128</v>
      </c>
      <c r="H47" s="108">
        <v>0</v>
      </c>
      <c r="I47" s="120" t="s">
        <v>127</v>
      </c>
      <c r="J47" s="103"/>
      <c r="O47" s="55"/>
    </row>
    <row r="48" spans="4:15" ht="4.5" customHeight="1" thickBot="1">
      <c r="D48" s="103"/>
      <c r="E48" s="103"/>
      <c r="F48" s="103"/>
      <c r="G48" s="103"/>
      <c r="H48" s="103"/>
      <c r="I48" s="103"/>
      <c r="J48" s="103"/>
      <c r="O48" s="55"/>
    </row>
    <row r="49" spans="2:15" ht="13.5" thickBot="1">
      <c r="B49" t="s">
        <v>199</v>
      </c>
      <c r="D49" s="103"/>
      <c r="E49" s="103"/>
      <c r="F49" s="116">
        <f>SUM(D44:D49)</f>
        <v>0</v>
      </c>
      <c r="G49" s="103"/>
      <c r="H49" s="103"/>
      <c r="I49" s="103"/>
      <c r="J49" s="103"/>
      <c r="O49" s="55"/>
    </row>
    <row r="50" spans="4:15" ht="13.5" thickBot="1">
      <c r="D50" s="103"/>
      <c r="E50" s="103"/>
      <c r="F50" s="103"/>
      <c r="G50" s="103"/>
      <c r="H50" s="103"/>
      <c r="I50" s="103"/>
      <c r="J50" s="103"/>
      <c r="O50" s="121">
        <f>SUM(F37:F42)</f>
        <v>2100000</v>
      </c>
    </row>
    <row r="51" spans="2:15" ht="13.5" thickBot="1">
      <c r="B51" s="1" t="s">
        <v>16</v>
      </c>
      <c r="D51" s="103"/>
      <c r="E51" s="103"/>
      <c r="F51" s="116">
        <f>SUM(F37:F49)</f>
        <v>2100000</v>
      </c>
      <c r="G51" s="103"/>
      <c r="H51" s="103"/>
      <c r="I51" s="103"/>
      <c r="J51" s="103"/>
      <c r="O51" s="55"/>
    </row>
    <row r="52" spans="4:15" ht="4.5" customHeight="1" thickBot="1">
      <c r="D52" s="103"/>
      <c r="E52" s="103"/>
      <c r="F52" s="103"/>
      <c r="G52" s="103"/>
      <c r="H52" s="103"/>
      <c r="I52" s="103"/>
      <c r="J52" s="103"/>
      <c r="O52" s="55"/>
    </row>
    <row r="53" spans="2:15" ht="13.5" thickBot="1">
      <c r="B53" t="s">
        <v>119</v>
      </c>
      <c r="D53" s="103"/>
      <c r="E53" s="103"/>
      <c r="F53" s="116">
        <f>'Death Chargeable Gifts'!Q45</f>
        <v>0</v>
      </c>
      <c r="G53" s="103"/>
      <c r="H53" s="103"/>
      <c r="I53" s="103"/>
      <c r="J53" s="103"/>
      <c r="O53" s="55"/>
    </row>
    <row r="54" spans="4:10" ht="4.5" customHeight="1" thickBot="1">
      <c r="D54" s="103"/>
      <c r="E54" s="103"/>
      <c r="F54" s="103"/>
      <c r="G54" s="103"/>
      <c r="H54" s="103"/>
      <c r="I54" s="103"/>
      <c r="J54" s="103"/>
    </row>
    <row r="55" spans="2:10" ht="13.5" thickBot="1">
      <c r="B55" t="s">
        <v>17</v>
      </c>
      <c r="D55" s="103"/>
      <c r="E55" s="103"/>
      <c r="F55" s="108"/>
      <c r="G55" s="103"/>
      <c r="H55" s="103"/>
      <c r="I55" s="103"/>
      <c r="J55" s="103"/>
    </row>
    <row r="56" spans="4:10" ht="4.5" customHeight="1" thickBot="1">
      <c r="D56" s="103"/>
      <c r="E56" s="103"/>
      <c r="F56" s="103"/>
      <c r="G56" s="103"/>
      <c r="H56" s="103"/>
      <c r="I56" s="103"/>
      <c r="J56" s="103"/>
    </row>
    <row r="57" spans="2:10" ht="13.5" thickBot="1">
      <c r="B57" s="1" t="s">
        <v>110</v>
      </c>
      <c r="D57" s="103"/>
      <c r="E57" s="103"/>
      <c r="F57" s="116">
        <f>SUM(F51:F55)</f>
        <v>2100000</v>
      </c>
      <c r="G57" s="103"/>
      <c r="H57" s="103"/>
      <c r="I57" s="103"/>
      <c r="J57" s="103"/>
    </row>
    <row r="58" spans="4:10" ht="13.5" thickBot="1">
      <c r="D58" s="103"/>
      <c r="E58" s="103"/>
      <c r="F58" s="103"/>
      <c r="G58" s="103"/>
      <c r="H58" s="103"/>
      <c r="I58" s="103"/>
      <c r="J58" s="103"/>
    </row>
    <row r="59" spans="2:10" ht="13.5" thickBot="1">
      <c r="B59" t="s">
        <v>19</v>
      </c>
      <c r="D59" s="108">
        <v>0</v>
      </c>
      <c r="E59" s="103"/>
      <c r="F59" s="103"/>
      <c r="G59" s="103"/>
      <c r="H59" s="103"/>
      <c r="I59" s="103"/>
      <c r="J59" s="103"/>
    </row>
    <row r="60" spans="4:10" ht="4.5" customHeight="1" thickBot="1">
      <c r="D60" s="103"/>
      <c r="E60" s="103"/>
      <c r="F60" s="103"/>
      <c r="G60" s="103"/>
      <c r="H60" s="103"/>
      <c r="I60" s="103"/>
      <c r="J60" s="103"/>
    </row>
    <row r="61" spans="2:10" ht="13.5" thickBot="1">
      <c r="B61" t="s">
        <v>218</v>
      </c>
      <c r="D61" s="108">
        <v>0</v>
      </c>
      <c r="E61" s="103"/>
      <c r="F61" s="103"/>
      <c r="G61" s="103"/>
      <c r="H61" s="103"/>
      <c r="I61" s="103"/>
      <c r="J61" s="103"/>
    </row>
    <row r="62" spans="4:10" ht="4.5" customHeight="1" thickBot="1">
      <c r="D62" s="103"/>
      <c r="E62" s="103"/>
      <c r="F62" s="103"/>
      <c r="G62" s="103"/>
      <c r="H62" s="103"/>
      <c r="I62" s="103"/>
      <c r="J62" s="103"/>
    </row>
    <row r="63" spans="2:10" ht="13.5" thickBot="1">
      <c r="B63" t="s">
        <v>20</v>
      </c>
      <c r="D63" s="108"/>
      <c r="E63" s="103"/>
      <c r="F63" s="103"/>
      <c r="G63" s="103"/>
      <c r="H63" s="103"/>
      <c r="I63" s="103"/>
      <c r="J63" s="103"/>
    </row>
    <row r="64" spans="4:10" ht="4.5" customHeight="1" thickBot="1">
      <c r="D64" s="103"/>
      <c r="E64" s="103"/>
      <c r="F64" s="103"/>
      <c r="G64" s="103"/>
      <c r="H64" s="103"/>
      <c r="I64" s="103"/>
      <c r="J64" s="103"/>
    </row>
    <row r="65" spans="2:10" ht="13.5" thickBot="1">
      <c r="B65" s="1" t="s">
        <v>21</v>
      </c>
      <c r="D65" s="116">
        <f>SUM(D59:D63)</f>
        <v>0</v>
      </c>
      <c r="E65" s="103"/>
      <c r="F65" s="103"/>
      <c r="G65" s="103"/>
      <c r="H65" s="103"/>
      <c r="I65" s="103"/>
      <c r="J65" s="103"/>
    </row>
    <row r="66" spans="4:10" ht="4.5" customHeight="1" thickBot="1">
      <c r="D66" s="103"/>
      <c r="E66" s="103"/>
      <c r="F66" s="103"/>
      <c r="G66" s="103"/>
      <c r="H66" s="103"/>
      <c r="I66" s="103"/>
      <c r="J66" s="103"/>
    </row>
    <row r="67" spans="2:10" ht="13.5" thickBot="1">
      <c r="B67" t="s">
        <v>22</v>
      </c>
      <c r="D67" s="108">
        <v>0</v>
      </c>
      <c r="E67" s="103"/>
      <c r="F67" s="103"/>
      <c r="G67" s="103"/>
      <c r="H67" s="103"/>
      <c r="I67" s="103"/>
      <c r="J67" s="103"/>
    </row>
    <row r="68" spans="4:10" ht="4.5" customHeight="1" thickBot="1">
      <c r="D68" s="103"/>
      <c r="E68" s="103"/>
      <c r="F68" s="103"/>
      <c r="G68" s="103"/>
      <c r="H68" s="103"/>
      <c r="I68" s="103"/>
      <c r="J68" s="103"/>
    </row>
    <row r="69" spans="2:10" ht="13.5" thickBot="1">
      <c r="B69" t="s">
        <v>23</v>
      </c>
      <c r="D69" s="108">
        <v>0</v>
      </c>
      <c r="E69" s="103"/>
      <c r="F69" s="103"/>
      <c r="G69" s="103"/>
      <c r="H69" s="103"/>
      <c r="I69" s="103"/>
      <c r="J69" s="103"/>
    </row>
    <row r="70" spans="4:10" ht="4.5" customHeight="1" thickBot="1">
      <c r="D70" s="103"/>
      <c r="E70" s="103"/>
      <c r="F70" s="103"/>
      <c r="G70" s="103"/>
      <c r="H70" s="103"/>
      <c r="I70" s="103"/>
      <c r="J70" s="103"/>
    </row>
    <row r="71" spans="2:10" ht="13.5" thickBot="1">
      <c r="B71" s="1" t="s">
        <v>24</v>
      </c>
      <c r="D71" s="103"/>
      <c r="E71" s="103"/>
      <c r="F71" s="116">
        <f>SUM(D65:D69)</f>
        <v>0</v>
      </c>
      <c r="G71" s="103"/>
      <c r="H71" s="103"/>
      <c r="I71" s="103"/>
      <c r="J71" s="103"/>
    </row>
    <row r="72" spans="4:10" ht="13.5" thickBot="1">
      <c r="D72" s="103"/>
      <c r="E72" s="103"/>
      <c r="F72" s="103"/>
      <c r="G72" s="103"/>
      <c r="H72" s="103"/>
      <c r="I72" s="103"/>
      <c r="J72" s="103"/>
    </row>
    <row r="73" spans="2:10" ht="13.5" thickBot="1">
      <c r="B73" s="1" t="s">
        <v>25</v>
      </c>
      <c r="D73" s="103"/>
      <c r="E73" s="103"/>
      <c r="F73" s="116">
        <f>F57-F71</f>
        <v>2100000</v>
      </c>
      <c r="G73" s="103"/>
      <c r="H73" s="103"/>
      <c r="I73" s="103"/>
      <c r="J73" s="103"/>
    </row>
    <row r="74" spans="4:10" ht="13.5" thickBot="1">
      <c r="D74" s="103"/>
      <c r="E74" s="103"/>
      <c r="F74" s="103"/>
      <c r="G74" s="103"/>
      <c r="H74" s="103"/>
      <c r="I74" s="103"/>
      <c r="J74" s="103"/>
    </row>
    <row r="75" spans="2:22" ht="13.5" thickBot="1">
      <c r="B75" s="19" t="s">
        <v>180</v>
      </c>
      <c r="D75" s="103"/>
      <c r="E75" s="103"/>
      <c r="F75" s="103"/>
      <c r="G75" s="103"/>
      <c r="H75" s="103"/>
      <c r="I75" s="103"/>
      <c r="J75" s="103"/>
      <c r="T75" s="27"/>
      <c r="U75" s="21"/>
      <c r="V75" s="27"/>
    </row>
    <row r="76" spans="4:22" ht="4.5" customHeight="1" thickBot="1">
      <c r="D76" s="103"/>
      <c r="E76" s="103"/>
      <c r="F76" s="103"/>
      <c r="G76" s="103"/>
      <c r="H76" s="103"/>
      <c r="I76" s="103"/>
      <c r="J76" s="103"/>
      <c r="T76" s="21"/>
      <c r="U76" s="21"/>
      <c r="V76" s="21"/>
    </row>
    <row r="77" spans="2:22" ht="13.5" thickBot="1">
      <c r="B77" t="s">
        <v>116</v>
      </c>
      <c r="O77" s="1"/>
      <c r="T77" s="24"/>
      <c r="U77" s="21"/>
      <c r="V77" s="24"/>
    </row>
    <row r="78" spans="20:22" ht="4.5" customHeight="1" thickBot="1">
      <c r="T78" s="21"/>
      <c r="U78" s="21"/>
      <c r="V78" s="21"/>
    </row>
    <row r="79" spans="2:22" ht="13.5" thickBot="1">
      <c r="B79" t="s">
        <v>121</v>
      </c>
      <c r="T79" s="27"/>
      <c r="U79" s="21"/>
      <c r="V79" s="27"/>
    </row>
    <row r="80" spans="2:22" ht="12.75">
      <c r="B80" t="s">
        <v>117</v>
      </c>
      <c r="T80" s="28"/>
      <c r="U80" s="21"/>
      <c r="V80" s="28"/>
    </row>
    <row r="81" ht="4.5" customHeight="1"/>
    <row r="83" ht="12.75">
      <c r="F83" s="55"/>
    </row>
  </sheetData>
  <sheetProtection sheet="1" objects="1" scenarios="1"/>
  <mergeCells count="1">
    <mergeCell ref="C5:D5"/>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56" r:id="rId3"/>
  <legacyDrawing r:id="rId2"/>
</worksheet>
</file>

<file path=xl/worksheets/sheet5.xml><?xml version="1.0" encoding="utf-8"?>
<worksheet xmlns="http://schemas.openxmlformats.org/spreadsheetml/2006/main" xmlns:r="http://schemas.openxmlformats.org/officeDocument/2006/relationships">
  <sheetPr codeName="Sheet4">
    <pageSetUpPr fitToPage="1"/>
  </sheetPr>
  <dimension ref="A2:AY71"/>
  <sheetViews>
    <sheetView showGridLines="0" showRowColHeaders="0" showZeros="0" showOutlineSymbols="0" zoomScale="75" zoomScaleNormal="75" zoomScalePageLayoutView="0" workbookViewId="0" topLeftCell="A1">
      <selection activeCell="Z1" sqref="Z1"/>
    </sheetView>
  </sheetViews>
  <sheetFormatPr defaultColWidth="9.00390625" defaultRowHeight="12.75"/>
  <cols>
    <col min="1" max="1" width="4.625" style="0" customWidth="1"/>
    <col min="2" max="2" width="12.625" style="0" customWidth="1"/>
    <col min="3" max="3" width="3.50390625" style="0" customWidth="1"/>
    <col min="4" max="4" width="47.50390625" style="0" customWidth="1"/>
    <col min="5" max="5" width="3.50390625" style="0" customWidth="1"/>
    <col min="6" max="6" width="12.625" style="0" customWidth="1"/>
    <col min="7" max="7" width="3.50390625" style="0" customWidth="1"/>
    <col min="8" max="8" width="12.625" style="0" customWidth="1"/>
    <col min="9" max="9" width="3.50390625" style="0" customWidth="1"/>
    <col min="10" max="10" width="12.625" style="0" customWidth="1"/>
    <col min="11" max="11" width="3.50390625" style="0" customWidth="1"/>
    <col min="12" max="12" width="12.625" style="0" customWidth="1"/>
    <col min="13" max="13" width="3.50390625" style="0" customWidth="1"/>
    <col min="14" max="14" width="12.625" style="0" customWidth="1"/>
    <col min="15" max="15" width="0.12890625" style="0" hidden="1" customWidth="1"/>
    <col min="16" max="16" width="9.625" style="0" hidden="1" customWidth="1"/>
    <col min="17" max="17" width="2.50390625" style="0" hidden="1" customWidth="1"/>
    <col min="18" max="18" width="2.625" style="0" hidden="1" customWidth="1"/>
    <col min="19" max="19" width="3.625" style="0" hidden="1" customWidth="1"/>
    <col min="20" max="20" width="9.625" style="0" hidden="1" customWidth="1"/>
    <col min="21" max="21" width="10.625" style="0" hidden="1" customWidth="1"/>
    <col min="22" max="22" width="3.50390625" style="0" customWidth="1"/>
    <col min="23" max="23" width="13.00390625" style="0" customWidth="1"/>
    <col min="24" max="24" width="7.625" style="0" customWidth="1"/>
    <col min="25" max="25" width="12.00390625" style="0" customWidth="1"/>
    <col min="26" max="26" width="3.50390625" style="0" customWidth="1"/>
    <col min="27" max="27" width="8.00390625" style="0" customWidth="1"/>
    <col min="28" max="28" width="3.50390625" style="0" customWidth="1"/>
    <col min="29" max="29" width="12.125" style="0" customWidth="1"/>
    <col min="30" max="30" width="3.50390625" style="0" customWidth="1"/>
    <col min="31" max="31" width="12.125" style="0" customWidth="1"/>
    <col min="34" max="50" width="0" style="0" hidden="1" customWidth="1"/>
  </cols>
  <sheetData>
    <row r="1" ht="21" customHeight="1"/>
    <row r="2" ht="15.75">
      <c r="D2" s="3" t="s">
        <v>111</v>
      </c>
    </row>
    <row r="3" spans="2:50" ht="12.75">
      <c r="B3" s="1"/>
      <c r="D3" s="1"/>
      <c r="F3" s="2"/>
      <c r="H3" s="2"/>
      <c r="J3" s="2"/>
      <c r="L3" s="2"/>
      <c r="N3" s="2"/>
      <c r="W3" s="2"/>
      <c r="X3" s="179" t="s">
        <v>120</v>
      </c>
      <c r="Y3" s="180"/>
      <c r="AA3" s="2"/>
      <c r="AC3" s="2"/>
      <c r="AE3" s="2"/>
      <c r="AH3">
        <v>7</v>
      </c>
      <c r="AI3">
        <v>9</v>
      </c>
      <c r="AJ3">
        <v>11</v>
      </c>
      <c r="AK3">
        <v>13</v>
      </c>
      <c r="AL3">
        <v>15</v>
      </c>
      <c r="AM3">
        <v>17</v>
      </c>
      <c r="AN3">
        <v>19</v>
      </c>
      <c r="AO3">
        <v>21</v>
      </c>
      <c r="AP3">
        <v>23</v>
      </c>
      <c r="AQ3">
        <v>25</v>
      </c>
      <c r="AR3">
        <v>27</v>
      </c>
      <c r="AS3">
        <v>29</v>
      </c>
      <c r="AT3">
        <v>31</v>
      </c>
      <c r="AU3">
        <v>33</v>
      </c>
      <c r="AV3">
        <v>35</v>
      </c>
      <c r="AW3">
        <v>37</v>
      </c>
      <c r="AX3">
        <v>39</v>
      </c>
    </row>
    <row r="4" spans="4:31" ht="26.25" customHeight="1">
      <c r="D4" s="2"/>
      <c r="F4" s="2"/>
      <c r="H4" s="2" t="s">
        <v>53</v>
      </c>
      <c r="J4" s="2"/>
      <c r="L4" s="2"/>
      <c r="N4" s="2"/>
      <c r="W4" s="2" t="s">
        <v>208</v>
      </c>
      <c r="X4" s="180"/>
      <c r="Y4" s="180"/>
      <c r="AA4" s="2" t="s">
        <v>36</v>
      </c>
      <c r="AC4" s="2" t="s">
        <v>35</v>
      </c>
      <c r="AE4" s="2" t="s">
        <v>34</v>
      </c>
    </row>
    <row r="5" spans="2:50" ht="12.75">
      <c r="B5" s="2" t="s">
        <v>38</v>
      </c>
      <c r="D5" s="1" t="s">
        <v>29</v>
      </c>
      <c r="F5" s="2" t="s">
        <v>40</v>
      </c>
      <c r="H5" s="2" t="s">
        <v>59</v>
      </c>
      <c r="J5" s="2" t="s">
        <v>28</v>
      </c>
      <c r="L5" s="2" t="s">
        <v>27</v>
      </c>
      <c r="N5" s="2" t="s">
        <v>37</v>
      </c>
      <c r="W5" s="2" t="s">
        <v>209</v>
      </c>
      <c r="X5" s="85" t="s">
        <v>168</v>
      </c>
      <c r="AA5" s="2" t="s">
        <v>33</v>
      </c>
      <c r="AC5" s="2" t="s">
        <v>193</v>
      </c>
      <c r="AE5" s="2" t="s">
        <v>193</v>
      </c>
      <c r="AH5" s="55">
        <v>3</v>
      </c>
      <c r="AI5" s="55">
        <v>1</v>
      </c>
      <c r="AJ5" s="55">
        <v>1</v>
      </c>
      <c r="AK5" s="55">
        <v>1</v>
      </c>
      <c r="AL5" s="55">
        <v>1</v>
      </c>
      <c r="AM5" s="55">
        <v>1</v>
      </c>
      <c r="AN5" s="55">
        <v>1</v>
      </c>
      <c r="AO5" s="55">
        <v>1</v>
      </c>
      <c r="AP5" s="55">
        <v>1</v>
      </c>
      <c r="AQ5" s="55">
        <v>1</v>
      </c>
      <c r="AR5" s="55">
        <v>1</v>
      </c>
      <c r="AS5" s="55">
        <v>1</v>
      </c>
      <c r="AT5" s="55">
        <v>1</v>
      </c>
      <c r="AU5" s="55">
        <v>1</v>
      </c>
      <c r="AV5" s="55">
        <v>1</v>
      </c>
      <c r="AW5" s="55">
        <v>1</v>
      </c>
      <c r="AX5" s="55">
        <v>1</v>
      </c>
    </row>
    <row r="6" spans="34:51" ht="4.5" customHeight="1" thickBot="1">
      <c r="AH6">
        <v>0</v>
      </c>
      <c r="AI6">
        <v>0</v>
      </c>
      <c r="AJ6">
        <v>0</v>
      </c>
      <c r="AK6">
        <v>0</v>
      </c>
      <c r="AL6">
        <v>0</v>
      </c>
      <c r="AM6">
        <v>0</v>
      </c>
      <c r="AN6">
        <v>0</v>
      </c>
      <c r="AO6">
        <v>0</v>
      </c>
      <c r="AP6">
        <v>0</v>
      </c>
      <c r="AQ6">
        <v>0</v>
      </c>
      <c r="AR6">
        <v>0</v>
      </c>
      <c r="AS6">
        <v>0</v>
      </c>
      <c r="AT6">
        <v>0</v>
      </c>
      <c r="AU6">
        <v>0</v>
      </c>
      <c r="AV6">
        <v>0</v>
      </c>
      <c r="AW6">
        <v>0</v>
      </c>
      <c r="AX6">
        <v>0</v>
      </c>
      <c r="AY6">
        <v>0</v>
      </c>
    </row>
    <row r="7" spans="2:50" ht="13.5" thickBot="1">
      <c r="B7" s="14"/>
      <c r="D7" s="15"/>
      <c r="F7" s="96"/>
      <c r="H7" s="96">
        <v>0</v>
      </c>
      <c r="I7" s="97"/>
      <c r="J7" s="96"/>
      <c r="K7" s="97"/>
      <c r="L7" s="98">
        <f>F7-H7-J7</f>
        <v>0</v>
      </c>
      <c r="M7" s="97"/>
      <c r="N7" s="98">
        <f>'Lifetime Workings'!G21</f>
        <v>0</v>
      </c>
      <c r="O7" s="97">
        <f>B7</f>
        <v>0</v>
      </c>
      <c r="P7" s="97">
        <f>IF(O7=0,0,EDATE(O7,-84))</f>
        <v>0</v>
      </c>
      <c r="Q7" s="97">
        <v>1</v>
      </c>
      <c r="R7" s="97">
        <v>2</v>
      </c>
      <c r="S7" s="97">
        <f aca="true" t="shared" si="0" ref="S7:S40">SUM(Q7:R7)</f>
        <v>3</v>
      </c>
      <c r="T7" s="97">
        <f>Lookup!D29</f>
        <v>0</v>
      </c>
      <c r="U7" s="97">
        <f>IF(S9=0,T7,IF(T7-W9&gt;0,T7-W9,0))</f>
        <v>0</v>
      </c>
      <c r="V7" s="97"/>
      <c r="W7" s="98">
        <f>'Lifetime Workings'!E22</f>
        <v>0</v>
      </c>
      <c r="Y7" s="13" t="str">
        <f>IF(AH5=2,"Donor",IF(AH5=3,"Donee",""))</f>
        <v>Donee</v>
      </c>
      <c r="AA7" s="25">
        <f>Lookup!E29</f>
        <v>0</v>
      </c>
      <c r="AC7" s="100">
        <f>IF(S7=0,0,IF(Y7="donee",0,(L7-N7)/(1-AA7)*AA7))</f>
        <v>0</v>
      </c>
      <c r="AD7" s="101"/>
      <c r="AE7" s="100">
        <f>IF(S7=0,0,IF(Y7="donor",0,(L7-N7)*AA7))</f>
        <v>0</v>
      </c>
      <c r="AG7" t="s">
        <v>32</v>
      </c>
      <c r="AH7">
        <v>1</v>
      </c>
      <c r="AI7">
        <v>1</v>
      </c>
      <c r="AJ7">
        <v>1</v>
      </c>
      <c r="AK7">
        <v>1</v>
      </c>
      <c r="AL7">
        <v>1</v>
      </c>
      <c r="AM7">
        <v>1</v>
      </c>
      <c r="AN7">
        <v>1</v>
      </c>
      <c r="AO7">
        <v>1</v>
      </c>
      <c r="AP7">
        <v>1</v>
      </c>
      <c r="AQ7">
        <v>1</v>
      </c>
      <c r="AR7">
        <v>1</v>
      </c>
      <c r="AS7">
        <v>1</v>
      </c>
      <c r="AT7">
        <v>1</v>
      </c>
      <c r="AU7">
        <v>1</v>
      </c>
      <c r="AV7">
        <v>1</v>
      </c>
      <c r="AW7">
        <v>1</v>
      </c>
      <c r="AX7">
        <v>1</v>
      </c>
    </row>
    <row r="8" spans="4:50" ht="4.5" customHeight="1" thickBot="1">
      <c r="D8" t="s">
        <v>32</v>
      </c>
      <c r="F8" s="97"/>
      <c r="H8" s="97"/>
      <c r="I8" s="97"/>
      <c r="J8" s="97"/>
      <c r="K8" s="97"/>
      <c r="L8" s="99"/>
      <c r="M8" s="97"/>
      <c r="N8" s="128"/>
      <c r="O8" s="97"/>
      <c r="P8" s="97"/>
      <c r="Q8" s="97"/>
      <c r="R8" s="97">
        <f>IF(R6=0,0,IF(O8&gt;P$7,2,0))</f>
        <v>0</v>
      </c>
      <c r="S8" s="97">
        <f t="shared" si="0"/>
        <v>0</v>
      </c>
      <c r="T8" s="97"/>
      <c r="U8" s="97"/>
      <c r="V8" s="97"/>
      <c r="W8" s="99"/>
      <c r="AC8" s="101"/>
      <c r="AD8" s="101"/>
      <c r="AE8" s="98"/>
      <c r="AH8">
        <v>2</v>
      </c>
      <c r="AI8">
        <v>2</v>
      </c>
      <c r="AJ8">
        <v>2</v>
      </c>
      <c r="AK8">
        <v>2</v>
      </c>
      <c r="AL8">
        <v>2</v>
      </c>
      <c r="AM8">
        <v>2</v>
      </c>
      <c r="AN8">
        <v>2</v>
      </c>
      <c r="AO8">
        <v>2</v>
      </c>
      <c r="AP8">
        <v>2</v>
      </c>
      <c r="AQ8">
        <v>2</v>
      </c>
      <c r="AR8">
        <v>2</v>
      </c>
      <c r="AS8">
        <v>2</v>
      </c>
      <c r="AT8">
        <v>2</v>
      </c>
      <c r="AU8">
        <v>2</v>
      </c>
      <c r="AV8">
        <v>2</v>
      </c>
      <c r="AW8">
        <v>2</v>
      </c>
      <c r="AX8">
        <v>2</v>
      </c>
    </row>
    <row r="9" spans="2:50" ht="13.5" thickBot="1">
      <c r="B9" s="14"/>
      <c r="D9" s="15">
        <v>0</v>
      </c>
      <c r="F9" s="96"/>
      <c r="H9" s="96">
        <v>0</v>
      </c>
      <c r="I9" s="97"/>
      <c r="J9" s="96"/>
      <c r="K9" s="97"/>
      <c r="L9" s="98">
        <f>F9-H9-J9</f>
        <v>0</v>
      </c>
      <c r="M9" s="97"/>
      <c r="N9" s="98">
        <f>'Lifetime Workings'!G20</f>
        <v>0</v>
      </c>
      <c r="O9" s="97">
        <f>B9</f>
        <v>0</v>
      </c>
      <c r="P9" s="97">
        <f>IF(O9=0,0,EDATE(O9,-84))</f>
        <v>0</v>
      </c>
      <c r="Q9" s="97">
        <f>IF(O9&gt;P7,1,0)</f>
        <v>0</v>
      </c>
      <c r="R9" s="97">
        <f>IF(R7=0,0,IF($O9&gt;$P$7,2,0))</f>
        <v>0</v>
      </c>
      <c r="S9" s="97">
        <f t="shared" si="0"/>
        <v>0</v>
      </c>
      <c r="T9" s="97">
        <f>Lookup!D30</f>
        <v>0</v>
      </c>
      <c r="U9" s="97">
        <f>IF(S11=0,T9,IF(T9-W11&gt;0,T9-W11,0))</f>
        <v>0</v>
      </c>
      <c r="V9" s="97"/>
      <c r="W9" s="98">
        <f>'Lifetime Workings'!E21</f>
        <v>0</v>
      </c>
      <c r="Y9" s="13">
        <f>IF(AI$5=2,"Donor",IF(AI$5=3,"Donee",""))</f>
      </c>
      <c r="AA9" s="25">
        <f>Lookup!E30</f>
        <v>0</v>
      </c>
      <c r="AC9" s="100">
        <f>IF(S9=0,0,IF(Y9="donee",0,(L9-N9)/(1-AA9)*AA9))</f>
        <v>0</v>
      </c>
      <c r="AD9" s="101"/>
      <c r="AE9" s="100">
        <f>IF(S9=0,0,IF(Y9="donor",0,(L9-N9)*AA9))</f>
        <v>0</v>
      </c>
      <c r="AG9" t="s">
        <v>32</v>
      </c>
      <c r="AH9" t="s">
        <v>32</v>
      </c>
      <c r="AI9" t="s">
        <v>32</v>
      </c>
      <c r="AJ9" t="s">
        <v>32</v>
      </c>
      <c r="AK9" t="s">
        <v>32</v>
      </c>
      <c r="AL9" t="s">
        <v>32</v>
      </c>
      <c r="AM9" t="s">
        <v>32</v>
      </c>
      <c r="AN9" t="s">
        <v>32</v>
      </c>
      <c r="AO9" t="s">
        <v>32</v>
      </c>
      <c r="AP9" t="s">
        <v>32</v>
      </c>
      <c r="AQ9" t="s">
        <v>32</v>
      </c>
      <c r="AR9" t="s">
        <v>32</v>
      </c>
      <c r="AS9" t="s">
        <v>32</v>
      </c>
      <c r="AT9" t="s">
        <v>32</v>
      </c>
      <c r="AU9" t="s">
        <v>32</v>
      </c>
      <c r="AV9" t="s">
        <v>32</v>
      </c>
      <c r="AW9" t="s">
        <v>32</v>
      </c>
      <c r="AX9" t="s">
        <v>32</v>
      </c>
    </row>
    <row r="10" spans="4:33" ht="4.5" customHeight="1" thickBot="1">
      <c r="D10" t="s">
        <v>32</v>
      </c>
      <c r="F10" s="97"/>
      <c r="H10" s="97"/>
      <c r="I10" s="97"/>
      <c r="J10" s="97"/>
      <c r="K10" s="97"/>
      <c r="L10" s="99"/>
      <c r="M10" s="97"/>
      <c r="N10" s="128"/>
      <c r="O10" s="97"/>
      <c r="P10" s="97"/>
      <c r="Q10" s="97"/>
      <c r="R10" s="97">
        <f aca="true" t="shared" si="1" ref="R10:R40">IF(R8=0,0,IF($O10&gt;$P$7,2,0))</f>
        <v>0</v>
      </c>
      <c r="S10" s="97">
        <f t="shared" si="0"/>
        <v>0</v>
      </c>
      <c r="T10" s="97"/>
      <c r="U10" s="97"/>
      <c r="V10" s="97"/>
      <c r="W10" s="99"/>
      <c r="AC10" s="101"/>
      <c r="AD10" s="101"/>
      <c r="AE10" s="101"/>
      <c r="AG10">
        <v>2</v>
      </c>
    </row>
    <row r="11" spans="2:31" ht="13.5" thickBot="1">
      <c r="B11" s="14"/>
      <c r="D11" s="15"/>
      <c r="F11" s="96"/>
      <c r="H11" s="96">
        <v>0</v>
      </c>
      <c r="I11" s="97"/>
      <c r="J11" s="96"/>
      <c r="K11" s="97"/>
      <c r="L11" s="98">
        <f>F11-H11-J11</f>
        <v>0</v>
      </c>
      <c r="M11" s="97"/>
      <c r="N11" s="98">
        <f>'Lifetime Workings'!G19</f>
        <v>0</v>
      </c>
      <c r="O11" s="97">
        <f>B11</f>
        <v>0</v>
      </c>
      <c r="P11" s="97">
        <f>IF(O11=0,0,EDATE(O11,-84))</f>
        <v>0</v>
      </c>
      <c r="Q11" s="97">
        <f>IF(O11&gt;P9,1,0)</f>
        <v>0</v>
      </c>
      <c r="R11" s="97">
        <f t="shared" si="1"/>
        <v>0</v>
      </c>
      <c r="S11" s="97">
        <f t="shared" si="0"/>
        <v>0</v>
      </c>
      <c r="T11" s="97">
        <f>Lookup!D31</f>
        <v>0</v>
      </c>
      <c r="U11" s="97">
        <f>IF(S13=0,T11,IF(T11-W13&gt;0,T11-W13,0))</f>
        <v>0</v>
      </c>
      <c r="V11" s="97"/>
      <c r="W11" s="98">
        <f>'Lifetime Workings'!E20</f>
        <v>0</v>
      </c>
      <c r="Y11" s="13">
        <f>IF(AJ$5=2,"Donor",IF(AJ$5=3,"Donee",""))</f>
      </c>
      <c r="AA11" s="25">
        <f>Lookup!E31</f>
        <v>0</v>
      </c>
      <c r="AC11" s="100">
        <f>IF(S11=0,0,IF(Y11="donee",0,(L11-N11)/(1-AA11)*AA11))</f>
        <v>0</v>
      </c>
      <c r="AD11" s="101"/>
      <c r="AE11" s="100">
        <f>IF(S11=0,0,IF(Y11="donor",0,(L11-N11)*AA11))</f>
        <v>0</v>
      </c>
    </row>
    <row r="12" spans="6:31" ht="4.5" customHeight="1" thickBot="1">
      <c r="F12" s="97"/>
      <c r="H12" s="97"/>
      <c r="I12" s="97"/>
      <c r="J12" s="97"/>
      <c r="K12" s="97"/>
      <c r="L12" s="99"/>
      <c r="M12" s="97"/>
      <c r="N12" s="128"/>
      <c r="O12" s="97"/>
      <c r="P12" s="97"/>
      <c r="Q12" s="97"/>
      <c r="R12" s="97">
        <f t="shared" si="1"/>
        <v>0</v>
      </c>
      <c r="S12" s="97">
        <f t="shared" si="0"/>
        <v>0</v>
      </c>
      <c r="T12" s="97"/>
      <c r="U12" s="97"/>
      <c r="V12" s="97"/>
      <c r="W12" s="99"/>
      <c r="AC12" s="101"/>
      <c r="AD12" s="101"/>
      <c r="AE12" s="101"/>
    </row>
    <row r="13" spans="2:31" ht="13.5" thickBot="1">
      <c r="B13" s="14"/>
      <c r="D13" s="15"/>
      <c r="F13" s="96"/>
      <c r="H13" s="96"/>
      <c r="I13" s="97"/>
      <c r="J13" s="96"/>
      <c r="K13" s="97"/>
      <c r="L13" s="98">
        <f>F13-H13-J13</f>
        <v>0</v>
      </c>
      <c r="M13" s="97"/>
      <c r="N13" s="98">
        <f>'Lifetime Workings'!G18</f>
        <v>0</v>
      </c>
      <c r="O13" s="97">
        <f>B13</f>
        <v>0</v>
      </c>
      <c r="P13" s="97">
        <f>IF(O13=0,0,EDATE(O13,-84))</f>
        <v>0</v>
      </c>
      <c r="Q13" s="97">
        <f>IF(O13&gt;P11,1,0)</f>
        <v>0</v>
      </c>
      <c r="R13" s="97">
        <f t="shared" si="1"/>
        <v>0</v>
      </c>
      <c r="S13" s="97">
        <f t="shared" si="0"/>
        <v>0</v>
      </c>
      <c r="T13" s="97">
        <f>Lookup!D32</f>
        <v>0</v>
      </c>
      <c r="U13" s="97">
        <f>IF(S15=0,T13,IF(T13-W15&gt;0,T13-W15,0))</f>
        <v>0</v>
      </c>
      <c r="V13" s="97"/>
      <c r="W13" s="98">
        <f>'Lifetime Workings'!E19</f>
        <v>0</v>
      </c>
      <c r="Y13" s="13">
        <f>IF(AK$5=2,"Donor",IF(AK$5=3,"Donee",""))</f>
      </c>
      <c r="AA13" s="25">
        <f>Lookup!E32</f>
        <v>0</v>
      </c>
      <c r="AC13" s="100">
        <f>IF(S13=0,0,IF(Y13="donee",0,(L13-N13)/(1-AA13)*AA13))</f>
        <v>0</v>
      </c>
      <c r="AD13" s="101"/>
      <c r="AE13" s="100">
        <f>IF(S13=0,0,IF(Y13="donor",0,(L13-N13)*AA13))</f>
        <v>0</v>
      </c>
    </row>
    <row r="14" spans="6:31" ht="4.5" customHeight="1" thickBot="1">
      <c r="F14" s="97"/>
      <c r="H14" s="97"/>
      <c r="I14" s="97"/>
      <c r="J14" s="97"/>
      <c r="K14" s="97"/>
      <c r="L14" s="99"/>
      <c r="M14" s="97"/>
      <c r="N14" s="128"/>
      <c r="O14" s="97"/>
      <c r="P14" s="97"/>
      <c r="Q14" s="97"/>
      <c r="R14" s="97">
        <f t="shared" si="1"/>
        <v>0</v>
      </c>
      <c r="S14" s="97">
        <f t="shared" si="0"/>
        <v>0</v>
      </c>
      <c r="T14" s="97"/>
      <c r="U14" s="97"/>
      <c r="V14" s="97"/>
      <c r="W14" s="99"/>
      <c r="AC14" s="100">
        <f>IF(Y14="","",IF(Y14="donee","",(L14-N14)/(1-AA14)*AA14))</f>
      </c>
      <c r="AD14" s="101"/>
      <c r="AE14" s="101"/>
    </row>
    <row r="15" spans="2:31" ht="13.5" thickBot="1">
      <c r="B15" s="14"/>
      <c r="D15" s="15"/>
      <c r="F15" s="96"/>
      <c r="H15" s="96"/>
      <c r="I15" s="97"/>
      <c r="J15" s="96"/>
      <c r="K15" s="97"/>
      <c r="L15" s="98">
        <f>F15-H15-J15</f>
        <v>0</v>
      </c>
      <c r="M15" s="97"/>
      <c r="N15" s="98">
        <f>'Lifetime Workings'!G17</f>
        <v>0</v>
      </c>
      <c r="O15" s="97">
        <f>B15</f>
        <v>0</v>
      </c>
      <c r="P15" s="97">
        <f>IF(O15=0,0,EDATE(O15,-84))</f>
        <v>0</v>
      </c>
      <c r="Q15" s="97">
        <f>IF(O15&gt;P13,1,0)</f>
        <v>0</v>
      </c>
      <c r="R15" s="97">
        <f t="shared" si="1"/>
        <v>0</v>
      </c>
      <c r="S15" s="97">
        <f t="shared" si="0"/>
        <v>0</v>
      </c>
      <c r="T15" s="97">
        <f>Lookup!D33</f>
        <v>0</v>
      </c>
      <c r="U15" s="97">
        <f>IF(S17=0,T15,IF(T15-W17&gt;0,T15-W17,0))</f>
        <v>0</v>
      </c>
      <c r="V15" s="97"/>
      <c r="W15" s="98">
        <f>'Lifetime Workings'!E18</f>
        <v>0</v>
      </c>
      <c r="Y15" s="13">
        <f>IF(AL$5=2,"Donor",IF(AL$5=3,"Donee",""))</f>
      </c>
      <c r="AA15" s="25">
        <f>Lookup!E33</f>
        <v>0</v>
      </c>
      <c r="AC15" s="100">
        <f>IF(S15=0,0,IF(Y15="donee",0,(L15-N15)/(1-AA15)*AA15))</f>
        <v>0</v>
      </c>
      <c r="AD15" s="101"/>
      <c r="AE15" s="100">
        <f>IF(S15=0,0,IF(Y15="donor",0,(L15-N15)*AA15))</f>
        <v>0</v>
      </c>
    </row>
    <row r="16" spans="6:31" ht="4.5" customHeight="1" thickBot="1">
      <c r="F16" s="97"/>
      <c r="H16" s="97"/>
      <c r="I16" s="97"/>
      <c r="J16" s="97"/>
      <c r="K16" s="97"/>
      <c r="L16" s="99"/>
      <c r="M16" s="97"/>
      <c r="N16" s="128"/>
      <c r="O16" s="97"/>
      <c r="P16" s="97"/>
      <c r="Q16" s="97"/>
      <c r="R16" s="97">
        <f t="shared" si="1"/>
        <v>0</v>
      </c>
      <c r="S16" s="97">
        <f t="shared" si="0"/>
        <v>0</v>
      </c>
      <c r="T16" s="97"/>
      <c r="U16" s="97"/>
      <c r="V16" s="97"/>
      <c r="W16" s="99"/>
      <c r="AC16" s="101"/>
      <c r="AD16" s="101"/>
      <c r="AE16" s="101"/>
    </row>
    <row r="17" spans="2:31" ht="13.5" thickBot="1">
      <c r="B17" s="14"/>
      <c r="D17" s="15"/>
      <c r="F17" s="96"/>
      <c r="H17" s="96">
        <v>0</v>
      </c>
      <c r="I17" s="97"/>
      <c r="J17" s="96"/>
      <c r="K17" s="97"/>
      <c r="L17" s="98">
        <f>F17-H17-J17</f>
        <v>0</v>
      </c>
      <c r="M17" s="97"/>
      <c r="N17" s="98">
        <f>'Lifetime Workings'!G16</f>
        <v>0</v>
      </c>
      <c r="O17" s="97">
        <f>B17</f>
        <v>0</v>
      </c>
      <c r="P17" s="97">
        <f>IF(O17=0,0,EDATE(O17,-84))</f>
        <v>0</v>
      </c>
      <c r="Q17" s="97">
        <f>IF(O17&gt;P15,1,0)</f>
        <v>0</v>
      </c>
      <c r="R17" s="97">
        <f t="shared" si="1"/>
        <v>0</v>
      </c>
      <c r="S17" s="97">
        <f t="shared" si="0"/>
        <v>0</v>
      </c>
      <c r="T17" s="97">
        <f>Lookup!D34</f>
        <v>0</v>
      </c>
      <c r="U17" s="97">
        <f>IF(S19=0,T17,IF(T17-W19&gt;0,T17-W19,0))</f>
        <v>0</v>
      </c>
      <c r="V17" s="97"/>
      <c r="W17" s="98">
        <f>'Lifetime Workings'!E17</f>
        <v>0</v>
      </c>
      <c r="Y17" s="54">
        <f>IF(AM$5=2,"Donor",IF(AM$5=3,"Donee",""))</f>
      </c>
      <c r="AA17" s="25">
        <f>Lookup!E34</f>
        <v>0</v>
      </c>
      <c r="AC17" s="100">
        <f>IF(S17=0,0,IF(Y17="donee",0,(L17-N17)/(1-AA17)*AA17))</f>
        <v>0</v>
      </c>
      <c r="AD17" s="101"/>
      <c r="AE17" s="100">
        <f>IF(S17=0,0,IF(Y17="donor",0,(L17-N17)*AA17))</f>
        <v>0</v>
      </c>
    </row>
    <row r="18" spans="6:31" ht="4.5" customHeight="1" thickBot="1">
      <c r="F18" s="97"/>
      <c r="H18" s="97"/>
      <c r="I18" s="97"/>
      <c r="J18" s="97"/>
      <c r="K18" s="97"/>
      <c r="L18" s="99"/>
      <c r="M18" s="97"/>
      <c r="N18" s="128"/>
      <c r="O18" s="97"/>
      <c r="P18" s="97"/>
      <c r="Q18" s="97"/>
      <c r="R18" s="97">
        <f t="shared" si="1"/>
        <v>0</v>
      </c>
      <c r="S18" s="97">
        <f t="shared" si="0"/>
        <v>0</v>
      </c>
      <c r="T18" s="97"/>
      <c r="U18" s="97"/>
      <c r="V18" s="97"/>
      <c r="W18" s="99"/>
      <c r="AC18" s="101"/>
      <c r="AD18" s="101"/>
      <c r="AE18" s="101"/>
    </row>
    <row r="19" spans="2:31" ht="13.5" thickBot="1">
      <c r="B19" s="14"/>
      <c r="D19" s="15"/>
      <c r="F19" s="96"/>
      <c r="H19" s="96">
        <v>0</v>
      </c>
      <c r="I19" s="97"/>
      <c r="J19" s="96"/>
      <c r="K19" s="97"/>
      <c r="L19" s="98">
        <f>F19-H19-J19</f>
        <v>0</v>
      </c>
      <c r="M19" s="97"/>
      <c r="N19" s="98">
        <f>'Lifetime Workings'!G15</f>
        <v>0</v>
      </c>
      <c r="O19" s="97">
        <f>B19</f>
        <v>0</v>
      </c>
      <c r="P19" s="97">
        <f>IF(O19=0,0,EDATE(O19,-84))</f>
        <v>0</v>
      </c>
      <c r="Q19" s="97">
        <f>IF(O19&gt;P17,1,0)</f>
        <v>0</v>
      </c>
      <c r="R19" s="97">
        <f t="shared" si="1"/>
        <v>0</v>
      </c>
      <c r="S19" s="97">
        <f t="shared" si="0"/>
        <v>0</v>
      </c>
      <c r="T19" s="97">
        <f>Lookup!D35</f>
        <v>0</v>
      </c>
      <c r="U19" s="97">
        <f>IF(S21=0,T19,IF(T19-W21&gt;0,T19-W21,0))</f>
        <v>0</v>
      </c>
      <c r="V19" s="97"/>
      <c r="W19" s="98">
        <f>'Lifetime Workings'!E16</f>
        <v>0</v>
      </c>
      <c r="Y19" s="13">
        <f>IF(AN$5=2,"Donor",IF(AN$5=3,"Donee",""))</f>
      </c>
      <c r="AA19" s="25">
        <f>Lookup!E35</f>
        <v>0</v>
      </c>
      <c r="AC19" s="100">
        <f>IF(S19=0,0,IF(Y19="donee",0,(L19-N19)/(1-AA19)*AA19))</f>
        <v>0</v>
      </c>
      <c r="AD19" s="101"/>
      <c r="AE19" s="100">
        <f>IF(S19=0,0,IF(Y19="donor",0,(L19-N19)*AA19))</f>
        <v>0</v>
      </c>
    </row>
    <row r="20" spans="6:31" ht="4.5" customHeight="1" thickBot="1">
      <c r="F20" s="97"/>
      <c r="H20" s="97"/>
      <c r="I20" s="97"/>
      <c r="J20" s="97"/>
      <c r="K20" s="97"/>
      <c r="L20" s="99"/>
      <c r="M20" s="97"/>
      <c r="N20" s="128"/>
      <c r="O20" s="97"/>
      <c r="P20" s="97"/>
      <c r="Q20" s="97"/>
      <c r="R20" s="97">
        <f t="shared" si="1"/>
        <v>0</v>
      </c>
      <c r="S20" s="97">
        <f t="shared" si="0"/>
        <v>0</v>
      </c>
      <c r="T20" s="97"/>
      <c r="U20" s="97"/>
      <c r="V20" s="97"/>
      <c r="W20" s="99"/>
      <c r="AC20" s="101"/>
      <c r="AD20" s="101"/>
      <c r="AE20" s="101"/>
    </row>
    <row r="21" spans="2:31" ht="13.5" thickBot="1">
      <c r="B21" s="14"/>
      <c r="D21" s="15"/>
      <c r="F21" s="96"/>
      <c r="H21" s="96"/>
      <c r="I21" s="97"/>
      <c r="J21" s="96"/>
      <c r="K21" s="97"/>
      <c r="L21" s="98">
        <f>F21-H21-J21</f>
        <v>0</v>
      </c>
      <c r="M21" s="97"/>
      <c r="N21" s="98">
        <f>'Lifetime Workings'!G14</f>
        <v>0</v>
      </c>
      <c r="O21" s="97">
        <f>B21</f>
        <v>0</v>
      </c>
      <c r="P21" s="97">
        <f>IF(O21=0,0,EDATE(O21,-84))</f>
        <v>0</v>
      </c>
      <c r="Q21" s="97">
        <f>IF(O21&gt;P19,1,0)</f>
        <v>0</v>
      </c>
      <c r="R21" s="97">
        <f t="shared" si="1"/>
        <v>0</v>
      </c>
      <c r="S21" s="97">
        <f t="shared" si="0"/>
        <v>0</v>
      </c>
      <c r="T21" s="97">
        <f>Lookup!D36</f>
        <v>0</v>
      </c>
      <c r="U21" s="97">
        <f>IF(S23=0,T21,IF(T21-W23&gt;0,T21-W23,0))</f>
        <v>0</v>
      </c>
      <c r="V21" s="97"/>
      <c r="W21" s="98">
        <f>'Lifetime Workings'!E15</f>
        <v>0</v>
      </c>
      <c r="Y21" s="13">
        <f>IF(AO$5=2,"Donor",IF(AO$5=3,"Donee",""))</f>
      </c>
      <c r="AA21" s="25">
        <f>Lookup!E36</f>
        <v>0</v>
      </c>
      <c r="AC21" s="100">
        <f>IF(S21=0,0,IF(Y21="donee",0,(L21-N21)/(1-AA21)*AA21))</f>
        <v>0</v>
      </c>
      <c r="AD21" s="101"/>
      <c r="AE21" s="100">
        <f>IF(S21=0,0,IF(Y21="donor",0,(L21-N21)*AA21))</f>
        <v>0</v>
      </c>
    </row>
    <row r="22" spans="6:31" ht="4.5" customHeight="1" thickBot="1">
      <c r="F22" s="97"/>
      <c r="H22" s="97"/>
      <c r="I22" s="97"/>
      <c r="J22" s="97"/>
      <c r="K22" s="97"/>
      <c r="L22" s="99"/>
      <c r="M22" s="97"/>
      <c r="N22" s="128"/>
      <c r="O22" s="97"/>
      <c r="P22" s="97"/>
      <c r="Q22" s="97"/>
      <c r="R22" s="97">
        <f t="shared" si="1"/>
        <v>0</v>
      </c>
      <c r="S22" s="97">
        <f t="shared" si="0"/>
        <v>0</v>
      </c>
      <c r="T22" s="97"/>
      <c r="U22" s="97"/>
      <c r="V22" s="97"/>
      <c r="W22" s="99"/>
      <c r="AC22" s="101"/>
      <c r="AD22" s="101"/>
      <c r="AE22" s="101"/>
    </row>
    <row r="23" spans="2:31" ht="13.5" thickBot="1">
      <c r="B23" s="14"/>
      <c r="D23" s="15"/>
      <c r="F23" s="96"/>
      <c r="H23" s="96"/>
      <c r="I23" s="97"/>
      <c r="J23" s="96"/>
      <c r="K23" s="97"/>
      <c r="L23" s="98">
        <f>F23-H23-J23</f>
        <v>0</v>
      </c>
      <c r="M23" s="97"/>
      <c r="N23" s="98">
        <f>'Lifetime Workings'!G13</f>
        <v>0</v>
      </c>
      <c r="O23" s="97">
        <f>B23</f>
        <v>0</v>
      </c>
      <c r="P23" s="97">
        <f>IF(O23=0,0,EDATE(O23,-84))</f>
        <v>0</v>
      </c>
      <c r="Q23" s="97">
        <f>IF(O23&gt;P21,1,0)</f>
        <v>0</v>
      </c>
      <c r="R23" s="97">
        <f t="shared" si="1"/>
        <v>0</v>
      </c>
      <c r="S23" s="97">
        <f t="shared" si="0"/>
        <v>0</v>
      </c>
      <c r="T23" s="97">
        <f>Lookup!D37</f>
        <v>0</v>
      </c>
      <c r="U23" s="97">
        <f>IF(S25=0,T23,IF(T23-W25&gt;0,T23-W25,0))</f>
        <v>0</v>
      </c>
      <c r="V23" s="97"/>
      <c r="W23" s="98">
        <f>'Lifetime Workings'!E14</f>
        <v>0</v>
      </c>
      <c r="Y23" s="54">
        <f>IF(AP$5=2,"Donor",IF(AP$5=3,"Donee",""))</f>
      </c>
      <c r="AA23" s="25">
        <f>Lookup!E37</f>
        <v>0</v>
      </c>
      <c r="AC23" s="100">
        <f>IF(S23=0,0,IF(Y23="donee",0,(L23-N23)/(1-AA23)*AA23))</f>
        <v>0</v>
      </c>
      <c r="AD23" s="101"/>
      <c r="AE23" s="100">
        <f>IF(S23=0,0,IF(Y23="donor",0,(L23-N23)*AA23))</f>
        <v>0</v>
      </c>
    </row>
    <row r="24" spans="6:31" ht="4.5" customHeight="1" thickBot="1">
      <c r="F24" s="97"/>
      <c r="H24" s="97"/>
      <c r="I24" s="97"/>
      <c r="J24" s="97"/>
      <c r="K24" s="97"/>
      <c r="L24" s="99"/>
      <c r="M24" s="97"/>
      <c r="N24" s="128"/>
      <c r="O24" s="97"/>
      <c r="P24" s="97"/>
      <c r="Q24" s="97"/>
      <c r="R24" s="97">
        <f t="shared" si="1"/>
        <v>0</v>
      </c>
      <c r="S24" s="97">
        <f t="shared" si="0"/>
        <v>0</v>
      </c>
      <c r="T24" s="97"/>
      <c r="U24" s="97"/>
      <c r="V24" s="97"/>
      <c r="W24" s="99"/>
      <c r="AC24" s="101"/>
      <c r="AD24" s="101"/>
      <c r="AE24" s="101"/>
    </row>
    <row r="25" spans="2:31" ht="13.5" thickBot="1">
      <c r="B25" s="14"/>
      <c r="D25" s="15"/>
      <c r="F25" s="96"/>
      <c r="H25" s="96"/>
      <c r="I25" s="97"/>
      <c r="J25" s="96"/>
      <c r="K25" s="97"/>
      <c r="L25" s="98">
        <f>F25-H25-J25</f>
        <v>0</v>
      </c>
      <c r="M25" s="97"/>
      <c r="N25" s="98">
        <f>'Lifetime Workings'!G12</f>
        <v>0</v>
      </c>
      <c r="O25" s="97">
        <f>B25</f>
        <v>0</v>
      </c>
      <c r="P25" s="97">
        <f>IF(O25=0,0,EDATE(O25,-84))</f>
        <v>0</v>
      </c>
      <c r="Q25" s="97">
        <f>IF(O25&gt;P23,1,0)</f>
        <v>0</v>
      </c>
      <c r="R25" s="97">
        <f t="shared" si="1"/>
        <v>0</v>
      </c>
      <c r="S25" s="97">
        <f t="shared" si="0"/>
        <v>0</v>
      </c>
      <c r="T25" s="97">
        <f>Lookup!D38</f>
        <v>0</v>
      </c>
      <c r="U25" s="97">
        <f>IF(S27=0,T25,IF(T25-W27&gt;0,T25-W27,0))</f>
        <v>0</v>
      </c>
      <c r="V25" s="97"/>
      <c r="W25" s="98">
        <f>'Lifetime Workings'!E13</f>
        <v>0</v>
      </c>
      <c r="Y25" s="13">
        <f>IF(AQ$5=2,"Donor",IF(AQ$5=3,"Donee",""))</f>
      </c>
      <c r="AA25" s="25">
        <f>Lookup!E38</f>
        <v>0</v>
      </c>
      <c r="AC25" s="100">
        <f>IF(S25=0,0,IF(Y25="donee",0,(L25-N25)/(1-AA25)*AA25))</f>
        <v>0</v>
      </c>
      <c r="AD25" s="101"/>
      <c r="AE25" s="100">
        <f>IF(S25=0,0,IF(Y25="donor",0,(L25-N25)*AA25))</f>
        <v>0</v>
      </c>
    </row>
    <row r="26" spans="6:31" ht="4.5" customHeight="1" thickBot="1">
      <c r="F26" s="97"/>
      <c r="H26" s="97"/>
      <c r="I26" s="97"/>
      <c r="J26" s="97"/>
      <c r="K26" s="97"/>
      <c r="L26" s="99"/>
      <c r="M26" s="97"/>
      <c r="N26" s="128"/>
      <c r="O26" s="97"/>
      <c r="P26" s="97"/>
      <c r="Q26" s="97"/>
      <c r="R26" s="97">
        <f t="shared" si="1"/>
        <v>0</v>
      </c>
      <c r="S26" s="97">
        <f t="shared" si="0"/>
        <v>0</v>
      </c>
      <c r="T26" s="97"/>
      <c r="U26" s="97"/>
      <c r="V26" s="97"/>
      <c r="W26" s="99"/>
      <c r="AC26" s="101"/>
      <c r="AD26" s="101"/>
      <c r="AE26" s="101"/>
    </row>
    <row r="27" spans="2:31" ht="13.5" thickBot="1">
      <c r="B27" s="14"/>
      <c r="D27" s="15"/>
      <c r="F27" s="96"/>
      <c r="H27" s="96"/>
      <c r="I27" s="97"/>
      <c r="J27" s="96"/>
      <c r="K27" s="97"/>
      <c r="L27" s="98">
        <f>F27-H27-J27</f>
        <v>0</v>
      </c>
      <c r="M27" s="97"/>
      <c r="N27" s="98">
        <f>'Lifetime Workings'!G11</f>
        <v>0</v>
      </c>
      <c r="O27" s="97">
        <f>B27</f>
        <v>0</v>
      </c>
      <c r="P27" s="97">
        <f>IF(O27=0,0,EDATE(O27,-84))</f>
        <v>0</v>
      </c>
      <c r="Q27" s="97">
        <f>IF(O27&gt;P25,1,0)</f>
        <v>0</v>
      </c>
      <c r="R27" s="97">
        <f t="shared" si="1"/>
        <v>0</v>
      </c>
      <c r="S27" s="97">
        <f t="shared" si="0"/>
        <v>0</v>
      </c>
      <c r="T27" s="97">
        <f>Lookup!D39</f>
        <v>0</v>
      </c>
      <c r="U27" s="97">
        <f>IF(S29=0,T27,IF(T27-W29&gt;0,T27-W29,0))</f>
        <v>0</v>
      </c>
      <c r="V27" s="97"/>
      <c r="W27" s="98">
        <f>'Lifetime Workings'!E12</f>
        <v>0</v>
      </c>
      <c r="Y27" s="13">
        <f>IF(AR$5=2,"Donor",IF(AR$5=3,"Donee",""))</f>
      </c>
      <c r="AA27" s="25">
        <f>Lookup!E39</f>
        <v>0</v>
      </c>
      <c r="AC27" s="100">
        <f>IF(S27=0,0,IF(Y27="donee",0,(L27-N27)/(1-AA27)*AA27))</f>
        <v>0</v>
      </c>
      <c r="AD27" s="101"/>
      <c r="AE27" s="100">
        <f>IF(S27=0,0,IF(Y27="donor",0,(L27-N27)*AA27))</f>
        <v>0</v>
      </c>
    </row>
    <row r="28" spans="2:31" ht="4.5" customHeight="1" thickBot="1">
      <c r="B28" s="4"/>
      <c r="F28" s="97"/>
      <c r="H28" s="97"/>
      <c r="I28" s="97"/>
      <c r="J28" s="97"/>
      <c r="K28" s="97"/>
      <c r="L28" s="99"/>
      <c r="M28" s="97"/>
      <c r="N28" s="128"/>
      <c r="O28" s="97"/>
      <c r="P28" s="97"/>
      <c r="Q28" s="97"/>
      <c r="R28" s="97">
        <f t="shared" si="1"/>
        <v>0</v>
      </c>
      <c r="S28" s="97">
        <f t="shared" si="0"/>
        <v>0</v>
      </c>
      <c r="T28" s="97"/>
      <c r="U28" s="97"/>
      <c r="V28" s="97"/>
      <c r="W28" s="99"/>
      <c r="AC28" s="101"/>
      <c r="AD28" s="101"/>
      <c r="AE28" s="101"/>
    </row>
    <row r="29" spans="2:31" ht="13.5" thickBot="1">
      <c r="B29" s="14"/>
      <c r="D29" s="15"/>
      <c r="F29" s="96"/>
      <c r="H29" s="96"/>
      <c r="I29" s="97"/>
      <c r="J29" s="96"/>
      <c r="K29" s="97"/>
      <c r="L29" s="98">
        <f>F29-H29-J29</f>
        <v>0</v>
      </c>
      <c r="M29" s="97"/>
      <c r="N29" s="98">
        <f>'Lifetime Workings'!G10</f>
        <v>0</v>
      </c>
      <c r="O29" s="97">
        <f>B29</f>
        <v>0</v>
      </c>
      <c r="P29" s="97">
        <f>IF(O29=0,0,EDATE(O29,-84))</f>
        <v>0</v>
      </c>
      <c r="Q29" s="97">
        <f>IF(O29&gt;P27,1,0)</f>
        <v>0</v>
      </c>
      <c r="R29" s="97">
        <f t="shared" si="1"/>
        <v>0</v>
      </c>
      <c r="S29" s="97">
        <f t="shared" si="0"/>
        <v>0</v>
      </c>
      <c r="T29" s="97">
        <f>Lookup!D40</f>
        <v>0</v>
      </c>
      <c r="U29" s="97">
        <f>IF(S31=0,T29,IF(T29-W31&gt;0,T29-W31,0))</f>
        <v>0</v>
      </c>
      <c r="V29" s="97"/>
      <c r="W29" s="98">
        <f>'Lifetime Workings'!E11</f>
        <v>0</v>
      </c>
      <c r="Y29" s="13">
        <f>IF(AS$5=2,"Donor",IF(AS$5=3,"Donee",""))</f>
      </c>
      <c r="AA29" s="25">
        <f>Lookup!E40</f>
        <v>0</v>
      </c>
      <c r="AC29" s="100">
        <f>IF(S29=0,0,IF(Y29="donee",0,(L29-N29)/(1-AA29)*AA29))</f>
        <v>0</v>
      </c>
      <c r="AD29" s="101"/>
      <c r="AE29" s="100">
        <f>IF(S29=0,0,IF(Y29="donor",0,(L29-N29)*AA29))</f>
        <v>0</v>
      </c>
    </row>
    <row r="30" spans="6:31" ht="4.5" customHeight="1" thickBot="1">
      <c r="F30" s="97"/>
      <c r="H30" s="97"/>
      <c r="I30" s="97"/>
      <c r="J30" s="97"/>
      <c r="K30" s="97"/>
      <c r="L30" s="99"/>
      <c r="M30" s="97"/>
      <c r="N30" s="128"/>
      <c r="O30" s="97"/>
      <c r="P30" s="97"/>
      <c r="Q30" s="97"/>
      <c r="R30" s="97">
        <f t="shared" si="1"/>
        <v>0</v>
      </c>
      <c r="S30" s="97">
        <f t="shared" si="0"/>
        <v>0</v>
      </c>
      <c r="T30" s="97"/>
      <c r="U30" s="97"/>
      <c r="V30" s="97"/>
      <c r="W30" s="99"/>
      <c r="AC30" s="101"/>
      <c r="AD30" s="101"/>
      <c r="AE30" s="101"/>
    </row>
    <row r="31" spans="2:31" ht="13.5" thickBot="1">
      <c r="B31" s="14"/>
      <c r="D31" s="15"/>
      <c r="F31" s="96"/>
      <c r="H31" s="96"/>
      <c r="I31" s="97"/>
      <c r="J31" s="96"/>
      <c r="K31" s="97"/>
      <c r="L31" s="98">
        <f>F31-H31-J31</f>
        <v>0</v>
      </c>
      <c r="M31" s="97"/>
      <c r="N31" s="98">
        <f>'Lifetime Workings'!G9</f>
        <v>0</v>
      </c>
      <c r="O31" s="97">
        <f>B31</f>
        <v>0</v>
      </c>
      <c r="P31" s="97">
        <f>IF(O31=0,0,EDATE(O31,-84))</f>
        <v>0</v>
      </c>
      <c r="Q31" s="97">
        <f>IF(O31&gt;P29,1,0)</f>
        <v>0</v>
      </c>
      <c r="R31" s="97">
        <f t="shared" si="1"/>
        <v>0</v>
      </c>
      <c r="S31" s="97">
        <f t="shared" si="0"/>
        <v>0</v>
      </c>
      <c r="T31" s="97">
        <f>Lookup!D41</f>
        <v>0</v>
      </c>
      <c r="U31" s="97">
        <f>IF(S33=0,T31,IF(T31-W33&gt;0,T31-W33,0))</f>
        <v>0</v>
      </c>
      <c r="V31" s="97"/>
      <c r="W31" s="98">
        <f>'Lifetime Workings'!E10</f>
        <v>0</v>
      </c>
      <c r="Y31" s="13">
        <f>IF(AT$5=2,"Donor",IF(AT$5=3,"Donee",""))</f>
      </c>
      <c r="AA31" s="25">
        <f>Lookup!E41</f>
        <v>0</v>
      </c>
      <c r="AC31" s="100">
        <f>IF(S31=0,0,IF(Y31="donee",0,(L31-N31)/(1-AA31)*AA31))</f>
        <v>0</v>
      </c>
      <c r="AD31" s="101"/>
      <c r="AE31" s="100">
        <f>IF(S31=0,0,IF(Y31="donor",0,(L31-N31)*AA31))</f>
        <v>0</v>
      </c>
    </row>
    <row r="32" spans="6:31" ht="4.5" customHeight="1" thickBot="1">
      <c r="F32" s="97"/>
      <c r="H32" s="97"/>
      <c r="I32" s="97"/>
      <c r="J32" s="97"/>
      <c r="K32" s="97"/>
      <c r="L32" s="99"/>
      <c r="M32" s="97"/>
      <c r="N32" s="128"/>
      <c r="O32" s="97"/>
      <c r="P32" s="97"/>
      <c r="Q32" s="97"/>
      <c r="R32" s="97">
        <f t="shared" si="1"/>
        <v>0</v>
      </c>
      <c r="S32" s="97">
        <f t="shared" si="0"/>
        <v>0</v>
      </c>
      <c r="T32" s="97"/>
      <c r="U32" s="97"/>
      <c r="V32" s="97"/>
      <c r="W32" s="99"/>
      <c r="AC32" s="100">
        <f>IF(Y32="",0,IF(Y32="donee",0,(L32-N32)/(1-AA32)*AA32))</f>
        <v>0</v>
      </c>
      <c r="AD32" s="101"/>
      <c r="AE32" s="101"/>
    </row>
    <row r="33" spans="2:31" ht="13.5" thickBot="1">
      <c r="B33" s="14"/>
      <c r="D33" s="15"/>
      <c r="F33" s="96"/>
      <c r="H33" s="96">
        <v>0</v>
      </c>
      <c r="I33" s="97"/>
      <c r="J33" s="96"/>
      <c r="K33" s="97"/>
      <c r="L33" s="98">
        <f>F33-H33-J33</f>
        <v>0</v>
      </c>
      <c r="M33" s="97"/>
      <c r="N33" s="98">
        <f>'Lifetime Workings'!G8</f>
        <v>0</v>
      </c>
      <c r="O33" s="97">
        <f>B33</f>
        <v>0</v>
      </c>
      <c r="P33" s="97">
        <f>IF(O33=0,0,EDATE(O33,-84))</f>
        <v>0</v>
      </c>
      <c r="Q33" s="97">
        <f>IF(O33&gt;P31,1,0)</f>
        <v>0</v>
      </c>
      <c r="R33" s="97">
        <f t="shared" si="1"/>
        <v>0</v>
      </c>
      <c r="S33" s="97">
        <f t="shared" si="0"/>
        <v>0</v>
      </c>
      <c r="T33" s="97">
        <f>Lookup!D42</f>
        <v>0</v>
      </c>
      <c r="U33" s="97">
        <f>IF(S35=0,T33,IF(T33-W35&gt;0,T33-W35,0))</f>
        <v>0</v>
      </c>
      <c r="V33" s="97"/>
      <c r="W33" s="98">
        <f>'Lifetime Workings'!E9</f>
        <v>0</v>
      </c>
      <c r="Y33" s="13">
        <f>IF(AU$5=2,"Donor",IF(AU$5=3,"Donee",""))</f>
      </c>
      <c r="AA33" s="25">
        <f>Lookup!E42</f>
        <v>0</v>
      </c>
      <c r="AC33" s="100">
        <f>IF(S33=0,0,IF(Y33="donee",0,(L33-N33)/(1-AA33)*AA33))</f>
        <v>0</v>
      </c>
      <c r="AD33" s="101"/>
      <c r="AE33" s="100">
        <f>IF(S33=0,0,IF(Y33="donor",0,(L33-N33)*AA33))</f>
        <v>0</v>
      </c>
    </row>
    <row r="34" spans="6:31" ht="4.5" customHeight="1" thickBot="1">
      <c r="F34" s="97"/>
      <c r="H34" s="97"/>
      <c r="I34" s="97"/>
      <c r="J34" s="97"/>
      <c r="K34" s="97"/>
      <c r="L34" s="99"/>
      <c r="M34" s="97"/>
      <c r="N34" s="128"/>
      <c r="O34" s="97"/>
      <c r="P34" s="97"/>
      <c r="Q34" s="97"/>
      <c r="R34" s="97">
        <f t="shared" si="1"/>
        <v>0</v>
      </c>
      <c r="S34" s="97">
        <f t="shared" si="0"/>
        <v>0</v>
      </c>
      <c r="T34" s="97"/>
      <c r="U34" s="97"/>
      <c r="V34" s="97"/>
      <c r="W34" s="99"/>
      <c r="AC34" s="100">
        <f>IF(Y34="",0,IF(Y34="donee",0,(L34-N34)/(1-AA34)*AA34))</f>
        <v>0</v>
      </c>
      <c r="AD34" s="101"/>
      <c r="AE34" s="101"/>
    </row>
    <row r="35" spans="2:31" ht="13.5" thickBot="1">
      <c r="B35" s="14"/>
      <c r="D35" s="15"/>
      <c r="F35" s="96"/>
      <c r="H35" s="96"/>
      <c r="I35" s="97"/>
      <c r="J35" s="96"/>
      <c r="K35" s="97"/>
      <c r="L35" s="98">
        <f>F35-H35-J35</f>
        <v>0</v>
      </c>
      <c r="M35" s="97"/>
      <c r="N35" s="98">
        <f>'Lifetime Workings'!G7</f>
        <v>0</v>
      </c>
      <c r="O35" s="97">
        <f>B35</f>
        <v>0</v>
      </c>
      <c r="P35" s="97">
        <f>IF(O35=0,0,EDATE(O35,-84))</f>
        <v>0</v>
      </c>
      <c r="Q35" s="97">
        <f>IF(O35&gt;P33,1,0)</f>
        <v>0</v>
      </c>
      <c r="R35" s="97">
        <f t="shared" si="1"/>
        <v>0</v>
      </c>
      <c r="S35" s="97">
        <f t="shared" si="0"/>
        <v>0</v>
      </c>
      <c r="T35" s="97">
        <f>Lookup!D43</f>
        <v>0</v>
      </c>
      <c r="U35" s="97">
        <f>IF(S37=0,T35,IF(T35-W37&gt;0,T35-W37,0))</f>
        <v>0</v>
      </c>
      <c r="V35" s="97"/>
      <c r="W35" s="98">
        <f>'Lifetime Workings'!E8</f>
        <v>0</v>
      </c>
      <c r="Y35" s="13">
        <f>IF(AV$5=2,"Donor",IF(AV$5=3,"Donee",""))</f>
      </c>
      <c r="AA35" s="25">
        <f>Lookup!E43</f>
        <v>0</v>
      </c>
      <c r="AC35" s="100">
        <f>IF(S35=0,0,IF(Y35="donee",0,(L35-N35)/(1-AA35)*AA35))</f>
        <v>0</v>
      </c>
      <c r="AD35" s="101"/>
      <c r="AE35" s="100">
        <f>IF(S35=0,0,IF(Y35="donor",0,(L35-N35)*AA35))</f>
        <v>0</v>
      </c>
    </row>
    <row r="36" spans="6:31" ht="4.5" customHeight="1" thickBot="1">
      <c r="F36" s="97"/>
      <c r="H36" s="97"/>
      <c r="I36" s="97"/>
      <c r="J36" s="97"/>
      <c r="K36" s="97"/>
      <c r="L36" s="99"/>
      <c r="M36" s="97"/>
      <c r="N36" s="128"/>
      <c r="O36" s="97"/>
      <c r="P36" s="97"/>
      <c r="Q36" s="97"/>
      <c r="R36" s="97">
        <f t="shared" si="1"/>
        <v>0</v>
      </c>
      <c r="S36" s="97">
        <f t="shared" si="0"/>
        <v>0</v>
      </c>
      <c r="T36" s="97"/>
      <c r="U36" s="97"/>
      <c r="V36" s="97"/>
      <c r="W36" s="99"/>
      <c r="AC36" s="101"/>
      <c r="AD36" s="101"/>
      <c r="AE36" s="100">
        <f>IF(Y36="","",IF(Y36="donor","",(L36-N36)*AA36))</f>
      </c>
    </row>
    <row r="37" spans="2:31" ht="13.5" thickBot="1">
      <c r="B37" s="14"/>
      <c r="D37" s="15"/>
      <c r="F37" s="96"/>
      <c r="H37" s="96"/>
      <c r="I37" s="97"/>
      <c r="J37" s="96"/>
      <c r="K37" s="97"/>
      <c r="L37" s="98">
        <f>F37-H37-J37</f>
        <v>0</v>
      </c>
      <c r="M37" s="97"/>
      <c r="N37" s="98">
        <f>'Lifetime Workings'!G6</f>
        <v>0</v>
      </c>
      <c r="O37" s="97">
        <f>B37</f>
        <v>0</v>
      </c>
      <c r="P37" s="97">
        <f>IF(O37=0,0,EDATE(O37,-84))</f>
        <v>0</v>
      </c>
      <c r="Q37" s="97">
        <f>IF(O37&gt;P35,1,0)</f>
        <v>0</v>
      </c>
      <c r="R37" s="97">
        <f t="shared" si="1"/>
        <v>0</v>
      </c>
      <c r="S37" s="97">
        <f t="shared" si="0"/>
        <v>0</v>
      </c>
      <c r="T37" s="97">
        <f>Lookup!D44</f>
        <v>0</v>
      </c>
      <c r="U37" s="97">
        <f>IF(S39=0,T37,IF(T37-W39&gt;0,T37-W39,0))</f>
        <v>0</v>
      </c>
      <c r="V37" s="97"/>
      <c r="W37" s="98">
        <f>'Lifetime Workings'!E7</f>
        <v>0</v>
      </c>
      <c r="Y37" s="13">
        <f>IF(AW$5=2,"Donor",IF(AW$5=3,"Donee",""))</f>
      </c>
      <c r="AA37" s="25">
        <f>Lookup!E44</f>
        <v>0</v>
      </c>
      <c r="AC37" s="100">
        <f>IF(S37=0,0,IF(Y37="donee",0,(L37-N37)/(1-AA37)*AA37))</f>
        <v>0</v>
      </c>
      <c r="AD37" s="101"/>
      <c r="AE37" s="100">
        <f>IF(S37=0,0,IF(Y37="donor",0,(L37-N37)*AA37))</f>
        <v>0</v>
      </c>
    </row>
    <row r="38" spans="6:31" ht="4.5" customHeight="1" thickBot="1">
      <c r="F38" s="97"/>
      <c r="H38" s="97"/>
      <c r="I38" s="97"/>
      <c r="J38" s="97"/>
      <c r="K38" s="97"/>
      <c r="L38" s="99"/>
      <c r="M38" s="97"/>
      <c r="N38" s="128"/>
      <c r="O38" s="97"/>
      <c r="P38" s="97"/>
      <c r="Q38" s="97"/>
      <c r="R38" s="97">
        <f t="shared" si="1"/>
        <v>0</v>
      </c>
      <c r="S38" s="97">
        <f t="shared" si="0"/>
        <v>0</v>
      </c>
      <c r="T38" s="97"/>
      <c r="U38" s="97"/>
      <c r="V38" s="97"/>
      <c r="W38" s="99"/>
      <c r="AC38" s="101"/>
      <c r="AD38" s="101"/>
      <c r="AE38" s="101"/>
    </row>
    <row r="39" spans="2:31" ht="13.5" thickBot="1">
      <c r="B39" s="14"/>
      <c r="D39" s="15"/>
      <c r="F39" s="96"/>
      <c r="H39" s="96"/>
      <c r="I39" s="97"/>
      <c r="J39" s="96"/>
      <c r="K39" s="97"/>
      <c r="L39" s="98">
        <f>F39-H39-J39</f>
        <v>0</v>
      </c>
      <c r="M39" s="97"/>
      <c r="N39" s="98">
        <f>'Lifetime Workings'!G5</f>
        <v>0</v>
      </c>
      <c r="O39" s="97">
        <f>B39</f>
        <v>0</v>
      </c>
      <c r="P39" s="97">
        <f>IF(O39=0,0,EDATE(O39,-84))</f>
        <v>0</v>
      </c>
      <c r="Q39" s="97">
        <f>IF(O39&gt;P37,1,0)</f>
        <v>0</v>
      </c>
      <c r="R39" s="97">
        <f t="shared" si="1"/>
        <v>0</v>
      </c>
      <c r="S39" s="97">
        <f t="shared" si="0"/>
        <v>0</v>
      </c>
      <c r="T39" s="97">
        <f>Lookup!D45</f>
        <v>0</v>
      </c>
      <c r="U39" s="97">
        <f>IF(S41=0,T39,IF(T39-W41&gt;0,T39-W41,0))</f>
        <v>0</v>
      </c>
      <c r="V39" s="97"/>
      <c r="W39" s="98">
        <f>'Lifetime Workings'!E6</f>
        <v>0</v>
      </c>
      <c r="Y39" s="13">
        <f>IF(AX$5=2,"Donor",IF(AX$5=3,"Donee",""))</f>
      </c>
      <c r="AA39" s="25">
        <f>Lookup!E45</f>
        <v>0</v>
      </c>
      <c r="AC39" s="100">
        <f>IF(S39=0,0,IF(Y39="donee",0,(L39-N39)/(1-AA39)*AA39))</f>
        <v>0</v>
      </c>
      <c r="AD39" s="101"/>
      <c r="AE39" s="100">
        <f>IF(S39=0,0,IF(Y39="donor",0,(L39-N39)*AA39))</f>
        <v>0</v>
      </c>
    </row>
    <row r="40" spans="14:31" ht="4.5" customHeight="1" thickBot="1">
      <c r="N40" s="128"/>
      <c r="R40" s="97">
        <f t="shared" si="1"/>
        <v>0</v>
      </c>
      <c r="S40" s="97">
        <f t="shared" si="0"/>
        <v>0</v>
      </c>
      <c r="AC40" s="101"/>
      <c r="AD40" s="101"/>
      <c r="AE40" s="101"/>
    </row>
    <row r="41" spans="8:31" ht="13.5" thickBot="1">
      <c r="H41" t="s">
        <v>32</v>
      </c>
      <c r="N41">
        <f>IF(L41&gt;U41,U41,L41)</f>
        <v>0</v>
      </c>
      <c r="W41" s="28"/>
      <c r="AC41" s="102">
        <f>SUM(AC7:AC39)</f>
        <v>0</v>
      </c>
      <c r="AD41" s="101"/>
      <c r="AE41" s="102">
        <f>SUM(AE7:AE39)</f>
        <v>0</v>
      </c>
    </row>
    <row r="42" spans="29:31" ht="4.5" customHeight="1" thickBot="1">
      <c r="AC42" s="101"/>
      <c r="AD42" s="101"/>
      <c r="AE42" s="101"/>
    </row>
    <row r="43" spans="8:31" ht="13.5" thickBot="1">
      <c r="H43" t="s">
        <v>32</v>
      </c>
      <c r="N43">
        <f>IF(L43&gt;U43,U43,L43)</f>
        <v>0</v>
      </c>
      <c r="W43" s="88"/>
      <c r="X43" s="1" t="s">
        <v>52</v>
      </c>
      <c r="AC43" s="132">
        <f>'Death Chargeable Gifts'!G41</f>
        <v>0</v>
      </c>
      <c r="AD43" s="101"/>
      <c r="AE43" s="132">
        <f>'Death Chargeable Gifts'!I41</f>
        <v>0</v>
      </c>
    </row>
    <row r="44" spans="29:31" ht="4.5" customHeight="1" thickBot="1">
      <c r="AC44" s="101"/>
      <c r="AD44" s="101"/>
      <c r="AE44" s="101"/>
    </row>
    <row r="45" spans="29:31" ht="13.5" thickBot="1">
      <c r="AC45" s="102">
        <f>AC41-AC43</f>
        <v>0</v>
      </c>
      <c r="AD45" s="101"/>
      <c r="AE45" s="102">
        <f>AE41-AE43</f>
        <v>0</v>
      </c>
    </row>
    <row r="46" spans="29:31" ht="4.5" customHeight="1">
      <c r="AC46" s="103"/>
      <c r="AD46" s="103"/>
      <c r="AE46" s="103"/>
    </row>
    <row r="47" ht="12.75">
      <c r="H47" s="88">
        <f>IF(SUM(L7:L39)&lt;N41,"WARNING-Nil rate band column has entries - remove","")</f>
      </c>
    </row>
    <row r="48" ht="4.5" customHeight="1"/>
    <row r="49" spans="2:8" ht="12.75">
      <c r="B49" s="19" t="s">
        <v>54</v>
      </c>
      <c r="H49" s="89" t="str">
        <f>IF(SUM(H7:H39)&lt;=0,"You have not entered any exemptions-is this correct?","")</f>
        <v>You have not entered any exemptions-is this correct?</v>
      </c>
    </row>
    <row r="50" ht="4.5" customHeight="1"/>
    <row r="51" ht="12.75">
      <c r="B51" t="s">
        <v>215</v>
      </c>
    </row>
    <row r="52" ht="4.5" customHeight="1"/>
    <row r="53" ht="12.75">
      <c r="B53" t="s">
        <v>57</v>
      </c>
    </row>
    <row r="54" ht="4.5" customHeight="1"/>
    <row r="55" ht="12.75">
      <c r="B55" t="s">
        <v>58</v>
      </c>
    </row>
    <row r="56" ht="4.5" customHeight="1"/>
    <row r="57" ht="12.75">
      <c r="B57" t="s">
        <v>177</v>
      </c>
    </row>
    <row r="58" ht="4.5" customHeight="1"/>
    <row r="59" ht="12.75">
      <c r="B59" t="s">
        <v>60</v>
      </c>
    </row>
    <row r="60" ht="4.5" customHeight="1"/>
    <row r="61" ht="12.75">
      <c r="B61" t="s">
        <v>214</v>
      </c>
    </row>
    <row r="62" ht="4.5" customHeight="1"/>
    <row r="63" ht="12.75">
      <c r="B63" t="s">
        <v>210</v>
      </c>
    </row>
    <row r="64" ht="4.5" customHeight="1"/>
    <row r="65" ht="12.75">
      <c r="B65" t="s">
        <v>55</v>
      </c>
    </row>
    <row r="67" spans="1:2" ht="12.75">
      <c r="A67" s="29" t="s">
        <v>61</v>
      </c>
      <c r="B67" t="s">
        <v>216</v>
      </c>
    </row>
    <row r="69" ht="12.75">
      <c r="B69" t="s">
        <v>189</v>
      </c>
    </row>
    <row r="71" ht="12.75">
      <c r="B71" t="s">
        <v>62</v>
      </c>
    </row>
  </sheetData>
  <sheetProtection password="EEC4" sheet="1"/>
  <mergeCells count="1">
    <mergeCell ref="X3:Y4"/>
  </mergeCells>
  <conditionalFormatting sqref="AC43 AE8 AE43">
    <cfRule type="expression" priority="1" dxfId="0" stopIfTrue="1">
      <formula>$S8=1</formula>
    </cfRule>
  </conditionalFormatting>
  <conditionalFormatting sqref="W35 AC9 W15 W11 W33 W31 W9 W29 W37 W39 W27 W25 W23 W21 W19 W17 W13 AE17 L37 L35 AE15 AC15 L33 L31 AC39 AE13 L29 L27 AE11 N13 L25 L23 AC13 AE9 L21 L19 AE7 AC11 L17 L15 AC7 W7 L13 L11 L39 N11 N7 N9 N17 AC37 AE37 AE35 AC35 AC33 AE33 AE31 AC31 AC29 AE29 AE27 AC27 AC25 AE25 AE23 AC23 AC21 AE21 AE19 AC19 AC17 AE39 N39 N37 N35 N15 N33 N31 N29 N27 N25 N23 N21 N19">
    <cfRule type="expression" priority="2" dxfId="0" stopIfTrue="1">
      <formula>$S7&lt;3</formula>
    </cfRule>
  </conditionalFormatting>
  <conditionalFormatting sqref="L9 L7">
    <cfRule type="expression" priority="3" dxfId="0" stopIfTrue="1">
      <formula>$S7&lt;3</formula>
    </cfRule>
  </conditionalFormatting>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56" r:id="rId3"/>
  <legacyDrawing r:id="rId2"/>
</worksheet>
</file>

<file path=xl/worksheets/sheet6.xml><?xml version="1.0" encoding="utf-8"?>
<worksheet xmlns="http://schemas.openxmlformats.org/spreadsheetml/2006/main" xmlns:r="http://schemas.openxmlformats.org/officeDocument/2006/relationships">
  <sheetPr codeName="Sheet13"/>
  <dimension ref="A1:AF130"/>
  <sheetViews>
    <sheetView zoomScale="75" zoomScaleNormal="75" zoomScalePageLayoutView="0" workbookViewId="0" topLeftCell="A1">
      <selection activeCell="C43" sqref="C43"/>
    </sheetView>
  </sheetViews>
  <sheetFormatPr defaultColWidth="10.625" defaultRowHeight="12.75"/>
  <cols>
    <col min="1" max="1" width="13.50390625" style="133" bestFit="1" customWidth="1"/>
    <col min="2" max="2" width="11.625" style="133" bestFit="1" customWidth="1"/>
    <col min="3" max="3" width="12.125" style="133" bestFit="1" customWidth="1"/>
    <col min="4" max="4" width="10.625" style="133" bestFit="1" customWidth="1"/>
    <col min="5" max="5" width="11.375" style="133" bestFit="1" customWidth="1"/>
    <col min="6" max="7" width="11.375" style="133" customWidth="1"/>
    <col min="8" max="8" width="10.625" style="133" bestFit="1" customWidth="1"/>
    <col min="9" max="9" width="12.00390625" style="133" customWidth="1"/>
    <col min="10" max="17" width="10.625" style="133" bestFit="1" customWidth="1"/>
    <col min="18" max="16384" width="10.625" style="133" customWidth="1"/>
  </cols>
  <sheetData>
    <row r="1" spans="2:32" ht="12.75">
      <c r="B1" s="137"/>
      <c r="C1" s="137"/>
      <c r="D1" s="137"/>
      <c r="E1" s="137"/>
      <c r="F1" s="137"/>
      <c r="G1" s="137"/>
      <c r="H1" s="137"/>
      <c r="I1" s="137"/>
      <c r="J1" s="138">
        <f>B5</f>
        <v>0</v>
      </c>
      <c r="K1" s="138">
        <f>B6</f>
        <v>0</v>
      </c>
      <c r="L1" s="138">
        <f>B7</f>
        <v>0</v>
      </c>
      <c r="M1" s="138">
        <f>B8</f>
        <v>0</v>
      </c>
      <c r="N1" s="138">
        <f>B9</f>
        <v>0</v>
      </c>
      <c r="O1" s="138">
        <f>B10</f>
        <v>0</v>
      </c>
      <c r="P1" s="138">
        <f>B11</f>
        <v>0</v>
      </c>
      <c r="Q1" s="138">
        <f>B12</f>
        <v>0</v>
      </c>
      <c r="R1" s="138">
        <f>B13</f>
        <v>0</v>
      </c>
      <c r="S1" s="138">
        <f>B14</f>
        <v>0</v>
      </c>
      <c r="T1" s="138">
        <f>B15</f>
        <v>0</v>
      </c>
      <c r="U1" s="138">
        <f>B16</f>
        <v>0</v>
      </c>
      <c r="V1" s="138">
        <f>B17</f>
        <v>0</v>
      </c>
      <c r="W1" s="138">
        <f>B18</f>
        <v>0</v>
      </c>
      <c r="X1" s="138">
        <f>B19</f>
        <v>0</v>
      </c>
      <c r="Y1" s="138">
        <f>B20</f>
        <v>0</v>
      </c>
      <c r="Z1" s="138">
        <f>B21</f>
        <v>0</v>
      </c>
      <c r="AA1" s="138">
        <f>B21</f>
        <v>0</v>
      </c>
      <c r="AB1" s="138"/>
      <c r="AC1" s="138"/>
      <c r="AD1" s="138"/>
      <c r="AE1" s="138"/>
      <c r="AF1" s="138"/>
    </row>
    <row r="2" spans="2:32" ht="12.75">
      <c r="B2" s="137"/>
      <c r="C2" s="137"/>
      <c r="D2" s="137"/>
      <c r="E2" s="137"/>
      <c r="H2" s="137"/>
      <c r="I2" s="137"/>
      <c r="J2" s="138">
        <f aca="true" t="shared" si="0" ref="J2:AA2">IF(J1=0,0,EDATE(J1,-84))</f>
        <v>0</v>
      </c>
      <c r="K2" s="138">
        <f t="shared" si="0"/>
        <v>0</v>
      </c>
      <c r="L2" s="138">
        <f t="shared" si="0"/>
        <v>0</v>
      </c>
      <c r="M2" s="138">
        <f t="shared" si="0"/>
        <v>0</v>
      </c>
      <c r="N2" s="138">
        <f t="shared" si="0"/>
        <v>0</v>
      </c>
      <c r="O2" s="138">
        <f t="shared" si="0"/>
        <v>0</v>
      </c>
      <c r="P2" s="138">
        <f t="shared" si="0"/>
        <v>0</v>
      </c>
      <c r="Q2" s="138">
        <f t="shared" si="0"/>
        <v>0</v>
      </c>
      <c r="R2" s="138">
        <f t="shared" si="0"/>
        <v>0</v>
      </c>
      <c r="S2" s="138">
        <f t="shared" si="0"/>
        <v>0</v>
      </c>
      <c r="T2" s="138">
        <f t="shared" si="0"/>
        <v>0</v>
      </c>
      <c r="U2" s="138">
        <f t="shared" si="0"/>
        <v>0</v>
      </c>
      <c r="V2" s="138">
        <f t="shared" si="0"/>
        <v>0</v>
      </c>
      <c r="W2" s="138">
        <f t="shared" si="0"/>
        <v>0</v>
      </c>
      <c r="X2" s="138">
        <f t="shared" si="0"/>
        <v>0</v>
      </c>
      <c r="Y2" s="138">
        <f t="shared" si="0"/>
        <v>0</v>
      </c>
      <c r="Z2" s="138">
        <f t="shared" si="0"/>
        <v>0</v>
      </c>
      <c r="AA2" s="138">
        <f t="shared" si="0"/>
        <v>0</v>
      </c>
      <c r="AB2" s="138"/>
      <c r="AC2" s="138"/>
      <c r="AD2" s="138"/>
      <c r="AE2" s="138"/>
      <c r="AF2" s="138"/>
    </row>
    <row r="3" spans="2:32" ht="12.75">
      <c r="B3" s="137"/>
      <c r="C3" s="137"/>
      <c r="D3" s="137"/>
      <c r="E3" s="137"/>
      <c r="F3" s="137" t="s">
        <v>212</v>
      </c>
      <c r="G3" s="137" t="s">
        <v>105</v>
      </c>
      <c r="H3" s="137"/>
      <c r="I3" s="137"/>
      <c r="J3" s="136">
        <f>($D5+$I5)</f>
        <v>0</v>
      </c>
      <c r="K3" s="136">
        <f>($D6+$I6)</f>
        <v>0</v>
      </c>
      <c r="L3" s="136">
        <f>($D7+$I7)</f>
        <v>0</v>
      </c>
      <c r="M3" s="136">
        <f>($D8+$I8)</f>
        <v>0</v>
      </c>
      <c r="N3" s="136">
        <f>($D9+$I9)</f>
        <v>0</v>
      </c>
      <c r="O3" s="136">
        <f>($D10+$I10)</f>
        <v>0</v>
      </c>
      <c r="P3" s="136">
        <f>($D11+$I11)</f>
        <v>0</v>
      </c>
      <c r="Q3" s="136">
        <f>($D12+$I12)</f>
        <v>0</v>
      </c>
      <c r="R3" s="136">
        <f>($D13+$I13)</f>
        <v>0</v>
      </c>
      <c r="S3" s="136">
        <f>($D14+$I14)</f>
        <v>0</v>
      </c>
      <c r="T3" s="136">
        <f>($D15+$I15)</f>
        <v>0</v>
      </c>
      <c r="U3" s="136">
        <f>($D16+$I16)</f>
        <v>0</v>
      </c>
      <c r="V3" s="136">
        <f>($D17+$I17)</f>
        <v>0</v>
      </c>
      <c r="W3" s="136">
        <f>($D18+$I18)</f>
        <v>0</v>
      </c>
      <c r="X3" s="136">
        <f>($D19+$I19)</f>
        <v>0</v>
      </c>
      <c r="Y3" s="136">
        <f>($D20+$I20)</f>
        <v>0</v>
      </c>
      <c r="Z3" s="136">
        <f>($D21+$I21)</f>
        <v>0</v>
      </c>
      <c r="AA3" s="138"/>
      <c r="AB3" s="138"/>
      <c r="AC3" s="138"/>
      <c r="AD3" s="138"/>
      <c r="AE3" s="138"/>
      <c r="AF3" s="138"/>
    </row>
    <row r="4" spans="1:27" ht="12.75">
      <c r="A4" s="137" t="s">
        <v>38</v>
      </c>
      <c r="B4" s="137" t="s">
        <v>38</v>
      </c>
      <c r="C4" s="137" t="s">
        <v>105</v>
      </c>
      <c r="D4" s="137" t="s">
        <v>27</v>
      </c>
      <c r="E4" s="137" t="s">
        <v>211</v>
      </c>
      <c r="F4" s="137" t="s">
        <v>105</v>
      </c>
      <c r="G4" s="137" t="s">
        <v>213</v>
      </c>
      <c r="H4" s="137" t="s">
        <v>48</v>
      </c>
      <c r="I4" s="137" t="s">
        <v>148</v>
      </c>
      <c r="J4" s="137" t="s">
        <v>211</v>
      </c>
      <c r="K4" s="137" t="s">
        <v>211</v>
      </c>
      <c r="L4" s="137" t="s">
        <v>211</v>
      </c>
      <c r="M4" s="137" t="s">
        <v>211</v>
      </c>
      <c r="N4" s="137" t="s">
        <v>211</v>
      </c>
      <c r="O4" s="137" t="s">
        <v>211</v>
      </c>
      <c r="P4" s="137" t="s">
        <v>211</v>
      </c>
      <c r="Q4" s="137" t="s">
        <v>211</v>
      </c>
      <c r="R4" s="137" t="s">
        <v>211</v>
      </c>
      <c r="S4" s="137" t="s">
        <v>211</v>
      </c>
      <c r="T4" s="137" t="s">
        <v>211</v>
      </c>
      <c r="U4" s="137" t="s">
        <v>211</v>
      </c>
      <c r="V4" s="137" t="s">
        <v>211</v>
      </c>
      <c r="W4" s="137" t="s">
        <v>211</v>
      </c>
      <c r="X4" s="137" t="s">
        <v>211</v>
      </c>
      <c r="Y4" s="137" t="s">
        <v>211</v>
      </c>
      <c r="Z4" s="137" t="s">
        <v>211</v>
      </c>
      <c r="AA4" s="137" t="s">
        <v>211</v>
      </c>
    </row>
    <row r="5" spans="1:27" ht="12.75">
      <c r="A5" s="135">
        <f>Lookup!B45</f>
        <v>0</v>
      </c>
      <c r="B5" s="134">
        <f>Lookup!C45</f>
        <v>0</v>
      </c>
      <c r="C5" s="133">
        <f>Lookup!D45</f>
        <v>0</v>
      </c>
      <c r="D5" s="136">
        <f>'Lifetime Gifts'!L39</f>
        <v>0</v>
      </c>
      <c r="E5" s="136">
        <f aca="true" t="shared" si="1" ref="E5:E22">AA5</f>
        <v>0</v>
      </c>
      <c r="F5" s="133">
        <f aca="true" t="shared" si="2" ref="F5:F21">IF(E5&gt;C5,0,C5-E5)</f>
        <v>0</v>
      </c>
      <c r="G5" s="136">
        <f>D5-H5</f>
        <v>0</v>
      </c>
      <c r="H5" s="136">
        <f>IF(D5-F5&lt;0,0,D5-F5)</f>
        <v>0</v>
      </c>
      <c r="I5" s="133">
        <f>IF('Lifetime Gifts'!Y39="donor",H5*25%,0)</f>
        <v>0</v>
      </c>
      <c r="AA5" s="136">
        <f>SUM(J5:Z5)</f>
        <v>0</v>
      </c>
    </row>
    <row r="6" spans="1:27" ht="12.75">
      <c r="A6" s="135">
        <f>Lookup!B44</f>
        <v>0</v>
      </c>
      <c r="B6" s="134">
        <f>Lookup!C44</f>
        <v>0</v>
      </c>
      <c r="C6" s="133">
        <f>Lookup!D44</f>
        <v>0</v>
      </c>
      <c r="D6" s="136">
        <f>'Lifetime Gifts'!L37</f>
        <v>0</v>
      </c>
      <c r="E6" s="136">
        <f t="shared" si="1"/>
        <v>0</v>
      </c>
      <c r="F6" s="133">
        <f t="shared" si="2"/>
        <v>0</v>
      </c>
      <c r="G6" s="136">
        <f aca="true" t="shared" si="3" ref="G6:G21">D6-H6</f>
        <v>0</v>
      </c>
      <c r="H6" s="136">
        <f aca="true" t="shared" si="4" ref="H6:H21">IF(D6-F6&lt;0,0,D6-F6)</f>
        <v>0</v>
      </c>
      <c r="I6" s="133">
        <f>IF('Lifetime Gifts'!Y37="donor",H6*25%,0)</f>
        <v>0</v>
      </c>
      <c r="J6" s="133">
        <f>IF(J$1&gt;$K$2,J$3,0)</f>
        <v>0</v>
      </c>
      <c r="AA6" s="136">
        <f aca="true" t="shared" si="5" ref="AA6:AA22">SUM(J6:Z6)</f>
        <v>0</v>
      </c>
    </row>
    <row r="7" spans="1:27" ht="12.75">
      <c r="A7" s="135">
        <f>Lookup!B43</f>
        <v>0</v>
      </c>
      <c r="B7" s="134">
        <f>Lookup!C43</f>
        <v>0</v>
      </c>
      <c r="C7" s="133">
        <f>Lookup!D43</f>
        <v>0</v>
      </c>
      <c r="D7" s="136">
        <f>'Lifetime Gifts'!L35</f>
        <v>0</v>
      </c>
      <c r="E7" s="136">
        <f t="shared" si="1"/>
        <v>0</v>
      </c>
      <c r="F7" s="133">
        <f t="shared" si="2"/>
        <v>0</v>
      </c>
      <c r="G7" s="136">
        <f t="shared" si="3"/>
        <v>0</v>
      </c>
      <c r="H7" s="136">
        <f t="shared" si="4"/>
        <v>0</v>
      </c>
      <c r="I7" s="133">
        <f>IF('Lifetime Gifts'!Y35="donor",H7*25%,0)</f>
        <v>0</v>
      </c>
      <c r="J7" s="133">
        <f>IF(J$1&gt;$L$2,J$3,0)</f>
        <v>0</v>
      </c>
      <c r="K7" s="133">
        <f>IF(K$1&gt;$L$2,K$3,0)</f>
        <v>0</v>
      </c>
      <c r="AA7" s="136">
        <f t="shared" si="5"/>
        <v>0</v>
      </c>
    </row>
    <row r="8" spans="1:27" ht="12.75">
      <c r="A8" s="135">
        <f>Lookup!B42</f>
        <v>0</v>
      </c>
      <c r="B8" s="134">
        <f>Lookup!C42</f>
        <v>0</v>
      </c>
      <c r="C8" s="133">
        <f>Lookup!D42</f>
        <v>0</v>
      </c>
      <c r="D8" s="136">
        <f>'Lifetime Gifts'!L33</f>
        <v>0</v>
      </c>
      <c r="E8" s="136">
        <f t="shared" si="1"/>
        <v>0</v>
      </c>
      <c r="F8" s="133">
        <f t="shared" si="2"/>
        <v>0</v>
      </c>
      <c r="G8" s="136">
        <f t="shared" si="3"/>
        <v>0</v>
      </c>
      <c r="H8" s="136">
        <f t="shared" si="4"/>
        <v>0</v>
      </c>
      <c r="I8" s="133">
        <f>IF('Lifetime Gifts'!Y33="donor",H8*25%,0)</f>
        <v>0</v>
      </c>
      <c r="J8" s="133">
        <f>IF(J$1&gt;$M$2,J$3,0)</f>
        <v>0</v>
      </c>
      <c r="K8" s="133">
        <f>IF(K$1&gt;$M$2,K$3,0)</f>
        <v>0</v>
      </c>
      <c r="L8" s="133">
        <f>IF(L$1&gt;$M$2,L$3,0)</f>
        <v>0</v>
      </c>
      <c r="AA8" s="136">
        <f t="shared" si="5"/>
        <v>0</v>
      </c>
    </row>
    <row r="9" spans="1:27" ht="12.75">
      <c r="A9" s="135">
        <f>Lookup!B41</f>
        <v>0</v>
      </c>
      <c r="B9" s="134">
        <f>Lookup!C41</f>
        <v>0</v>
      </c>
      <c r="C9" s="133">
        <f>Lookup!D41</f>
        <v>0</v>
      </c>
      <c r="D9" s="136">
        <f>'Lifetime Gifts'!L31</f>
        <v>0</v>
      </c>
      <c r="E9" s="136">
        <f t="shared" si="1"/>
        <v>0</v>
      </c>
      <c r="F9" s="133">
        <f t="shared" si="2"/>
        <v>0</v>
      </c>
      <c r="G9" s="136">
        <f t="shared" si="3"/>
        <v>0</v>
      </c>
      <c r="H9" s="136">
        <f t="shared" si="4"/>
        <v>0</v>
      </c>
      <c r="I9" s="133">
        <f>IF('Lifetime Gifts'!Y31="donor",H9*25%,0)</f>
        <v>0</v>
      </c>
      <c r="J9" s="133">
        <f>IF(J$1&gt;$N$2,J$3,0)</f>
        <v>0</v>
      </c>
      <c r="K9" s="133">
        <f>IF(K$1&gt;$N$2,K$3,0)</f>
        <v>0</v>
      </c>
      <c r="L9" s="133">
        <f>IF(L$1&gt;$N$2,L$3,0)</f>
        <v>0</v>
      </c>
      <c r="M9" s="133">
        <f>IF(M$1&gt;$N$2,M$3,0)</f>
        <v>0</v>
      </c>
      <c r="AA9" s="136">
        <f t="shared" si="5"/>
        <v>0</v>
      </c>
    </row>
    <row r="10" spans="1:27" ht="12.75">
      <c r="A10" s="135">
        <f>Lookup!B40</f>
        <v>0</v>
      </c>
      <c r="B10" s="134">
        <f>Lookup!C40</f>
        <v>0</v>
      </c>
      <c r="C10" s="133">
        <f>Lookup!D40</f>
        <v>0</v>
      </c>
      <c r="D10" s="136">
        <f>'Lifetime Gifts'!L29</f>
        <v>0</v>
      </c>
      <c r="E10" s="136">
        <f t="shared" si="1"/>
        <v>0</v>
      </c>
      <c r="F10" s="133">
        <f t="shared" si="2"/>
        <v>0</v>
      </c>
      <c r="G10" s="136">
        <f t="shared" si="3"/>
        <v>0</v>
      </c>
      <c r="H10" s="136">
        <f t="shared" si="4"/>
        <v>0</v>
      </c>
      <c r="I10" s="133">
        <f>IF('Lifetime Gifts'!Y29="donor",H10*25%,0)</f>
        <v>0</v>
      </c>
      <c r="J10" s="133">
        <f>IF(J$1&gt;$O$2,J$3,0)</f>
        <v>0</v>
      </c>
      <c r="K10" s="133">
        <f>IF(K$1&gt;$O$2,K$3,0)</f>
        <v>0</v>
      </c>
      <c r="L10" s="133">
        <f>IF(L$1&gt;$O$2,L$3,0)</f>
        <v>0</v>
      </c>
      <c r="M10" s="133">
        <f>IF(M$1&gt;$O$2,M$3,0)</f>
        <v>0</v>
      </c>
      <c r="N10" s="133">
        <f>IF(N$1&gt;$O$2,N$3,0)</f>
        <v>0</v>
      </c>
      <c r="AA10" s="136">
        <f t="shared" si="5"/>
        <v>0</v>
      </c>
    </row>
    <row r="11" spans="1:27" ht="12.75">
      <c r="A11" s="135">
        <f>Lookup!B39</f>
        <v>0</v>
      </c>
      <c r="B11" s="134">
        <f>Lookup!C39</f>
        <v>0</v>
      </c>
      <c r="C11" s="133">
        <f>Lookup!D39</f>
        <v>0</v>
      </c>
      <c r="D11" s="136">
        <f>'Lifetime Gifts'!L27</f>
        <v>0</v>
      </c>
      <c r="E11" s="136">
        <f t="shared" si="1"/>
        <v>0</v>
      </c>
      <c r="F11" s="133">
        <f t="shared" si="2"/>
        <v>0</v>
      </c>
      <c r="G11" s="136">
        <f t="shared" si="3"/>
        <v>0</v>
      </c>
      <c r="H11" s="136">
        <f t="shared" si="4"/>
        <v>0</v>
      </c>
      <c r="I11" s="133">
        <f>IF('Lifetime Gifts'!Y27="donor",H11*25%,0)</f>
        <v>0</v>
      </c>
      <c r="J11" s="133">
        <f aca="true" t="shared" si="6" ref="J11:O11">IF(J$1&gt;$P$2,J$3,0)</f>
        <v>0</v>
      </c>
      <c r="K11" s="133">
        <f t="shared" si="6"/>
        <v>0</v>
      </c>
      <c r="L11" s="133">
        <f t="shared" si="6"/>
        <v>0</v>
      </c>
      <c r="M11" s="133">
        <f t="shared" si="6"/>
        <v>0</v>
      </c>
      <c r="N11" s="133">
        <f t="shared" si="6"/>
        <v>0</v>
      </c>
      <c r="O11" s="133">
        <f t="shared" si="6"/>
        <v>0</v>
      </c>
      <c r="AA11" s="136">
        <f t="shared" si="5"/>
        <v>0</v>
      </c>
    </row>
    <row r="12" spans="1:27" ht="12.75">
      <c r="A12" s="135">
        <f>Lookup!B38</f>
        <v>0</v>
      </c>
      <c r="B12" s="134">
        <f>Lookup!C38</f>
        <v>0</v>
      </c>
      <c r="C12" s="133">
        <f>Lookup!D38</f>
        <v>0</v>
      </c>
      <c r="D12" s="136">
        <f>'Lifetime Gifts'!L25</f>
        <v>0</v>
      </c>
      <c r="E12" s="136">
        <f t="shared" si="1"/>
        <v>0</v>
      </c>
      <c r="F12" s="133">
        <f t="shared" si="2"/>
        <v>0</v>
      </c>
      <c r="G12" s="136">
        <f t="shared" si="3"/>
        <v>0</v>
      </c>
      <c r="H12" s="136">
        <f t="shared" si="4"/>
        <v>0</v>
      </c>
      <c r="I12" s="133">
        <f>IF('Lifetime Gifts'!Y25="donor",H12*25%,0)</f>
        <v>0</v>
      </c>
      <c r="J12" s="133">
        <f aca="true" t="shared" si="7" ref="J12:P12">IF(J$1&gt;$Q$2,J$3,0)</f>
        <v>0</v>
      </c>
      <c r="K12" s="133">
        <f t="shared" si="7"/>
        <v>0</v>
      </c>
      <c r="L12" s="133">
        <f t="shared" si="7"/>
        <v>0</v>
      </c>
      <c r="M12" s="133">
        <f t="shared" si="7"/>
        <v>0</v>
      </c>
      <c r="N12" s="133">
        <f t="shared" si="7"/>
        <v>0</v>
      </c>
      <c r="O12" s="133">
        <f t="shared" si="7"/>
        <v>0</v>
      </c>
      <c r="P12" s="133">
        <f t="shared" si="7"/>
        <v>0</v>
      </c>
      <c r="AA12" s="136">
        <f t="shared" si="5"/>
        <v>0</v>
      </c>
    </row>
    <row r="13" spans="1:27" ht="12.75">
      <c r="A13" s="135">
        <f>Lookup!B37</f>
        <v>0</v>
      </c>
      <c r="B13" s="134">
        <f>Lookup!C37</f>
        <v>0</v>
      </c>
      <c r="C13" s="133">
        <f>Lookup!D37</f>
        <v>0</v>
      </c>
      <c r="D13" s="136">
        <f>'Lifetime Gifts'!L23</f>
        <v>0</v>
      </c>
      <c r="E13" s="136">
        <f t="shared" si="1"/>
        <v>0</v>
      </c>
      <c r="F13" s="133">
        <f t="shared" si="2"/>
        <v>0</v>
      </c>
      <c r="G13" s="136">
        <f t="shared" si="3"/>
        <v>0</v>
      </c>
      <c r="H13" s="136">
        <f t="shared" si="4"/>
        <v>0</v>
      </c>
      <c r="I13" s="133">
        <f>IF('Lifetime Gifts'!Y23="donor",H13*25%,0)</f>
        <v>0</v>
      </c>
      <c r="J13" s="133">
        <f aca="true" t="shared" si="8" ref="J13:Q13">IF(J$1&gt;$R$2,J$3,0)</f>
        <v>0</v>
      </c>
      <c r="K13" s="133">
        <f t="shared" si="8"/>
        <v>0</v>
      </c>
      <c r="L13" s="133">
        <f t="shared" si="8"/>
        <v>0</v>
      </c>
      <c r="M13" s="133">
        <f t="shared" si="8"/>
        <v>0</v>
      </c>
      <c r="N13" s="133">
        <f t="shared" si="8"/>
        <v>0</v>
      </c>
      <c r="O13" s="133">
        <f t="shared" si="8"/>
        <v>0</v>
      </c>
      <c r="P13" s="133">
        <f t="shared" si="8"/>
        <v>0</v>
      </c>
      <c r="Q13" s="133">
        <f t="shared" si="8"/>
        <v>0</v>
      </c>
      <c r="AA13" s="136">
        <f t="shared" si="5"/>
        <v>0</v>
      </c>
    </row>
    <row r="14" spans="1:27" ht="12.75">
      <c r="A14" s="135">
        <f>Lookup!B36</f>
        <v>0</v>
      </c>
      <c r="B14" s="134">
        <f>Lookup!C36</f>
        <v>0</v>
      </c>
      <c r="C14" s="133">
        <f>Lookup!D36</f>
        <v>0</v>
      </c>
      <c r="D14" s="136">
        <f>'Lifetime Gifts'!L21</f>
        <v>0</v>
      </c>
      <c r="E14" s="136">
        <f t="shared" si="1"/>
        <v>0</v>
      </c>
      <c r="F14" s="133">
        <f t="shared" si="2"/>
        <v>0</v>
      </c>
      <c r="G14" s="136">
        <f t="shared" si="3"/>
        <v>0</v>
      </c>
      <c r="H14" s="136">
        <f t="shared" si="4"/>
        <v>0</v>
      </c>
      <c r="I14" s="133">
        <f>IF('Lifetime Gifts'!Y21="donor",H14*25%,0)</f>
        <v>0</v>
      </c>
      <c r="J14" s="133">
        <f aca="true" t="shared" si="9" ref="J14:R14">IF(J$1&gt;$S$2,J$3,0)</f>
        <v>0</v>
      </c>
      <c r="K14" s="133">
        <f t="shared" si="9"/>
        <v>0</v>
      </c>
      <c r="L14" s="133">
        <f t="shared" si="9"/>
        <v>0</v>
      </c>
      <c r="M14" s="133">
        <f t="shared" si="9"/>
        <v>0</v>
      </c>
      <c r="N14" s="133">
        <f t="shared" si="9"/>
        <v>0</v>
      </c>
      <c r="O14" s="133">
        <f t="shared" si="9"/>
        <v>0</v>
      </c>
      <c r="P14" s="133">
        <f t="shared" si="9"/>
        <v>0</v>
      </c>
      <c r="Q14" s="133">
        <f t="shared" si="9"/>
        <v>0</v>
      </c>
      <c r="R14" s="133">
        <f t="shared" si="9"/>
        <v>0</v>
      </c>
      <c r="AA14" s="136">
        <f t="shared" si="5"/>
        <v>0</v>
      </c>
    </row>
    <row r="15" spans="1:27" ht="12.75">
      <c r="A15" s="135">
        <f>Lookup!B35</f>
        <v>0</v>
      </c>
      <c r="B15" s="134">
        <f>Lookup!C35</f>
        <v>0</v>
      </c>
      <c r="C15" s="133">
        <f>Lookup!D35</f>
        <v>0</v>
      </c>
      <c r="D15" s="136">
        <f>'Lifetime Gifts'!L19</f>
        <v>0</v>
      </c>
      <c r="E15" s="136">
        <f t="shared" si="1"/>
        <v>0</v>
      </c>
      <c r="F15" s="133">
        <f t="shared" si="2"/>
        <v>0</v>
      </c>
      <c r="G15" s="136">
        <f t="shared" si="3"/>
        <v>0</v>
      </c>
      <c r="H15" s="136">
        <f t="shared" si="4"/>
        <v>0</v>
      </c>
      <c r="I15" s="133">
        <f>IF('Lifetime Gifts'!Y19="donor",H15*25%,0)</f>
        <v>0</v>
      </c>
      <c r="J15" s="133">
        <f aca="true" t="shared" si="10" ref="J15:S15">IF(J$1&gt;$T$2,J$3,0)</f>
        <v>0</v>
      </c>
      <c r="K15" s="133">
        <f t="shared" si="10"/>
        <v>0</v>
      </c>
      <c r="L15" s="133">
        <f t="shared" si="10"/>
        <v>0</v>
      </c>
      <c r="M15" s="133">
        <f t="shared" si="10"/>
        <v>0</v>
      </c>
      <c r="N15" s="133">
        <f t="shared" si="10"/>
        <v>0</v>
      </c>
      <c r="O15" s="133">
        <f t="shared" si="10"/>
        <v>0</v>
      </c>
      <c r="P15" s="133">
        <f t="shared" si="10"/>
        <v>0</v>
      </c>
      <c r="Q15" s="133">
        <f t="shared" si="10"/>
        <v>0</v>
      </c>
      <c r="R15" s="133">
        <f t="shared" si="10"/>
        <v>0</v>
      </c>
      <c r="S15" s="133">
        <f t="shared" si="10"/>
        <v>0</v>
      </c>
      <c r="AA15" s="136">
        <f t="shared" si="5"/>
        <v>0</v>
      </c>
    </row>
    <row r="16" spans="1:27" ht="12.75">
      <c r="A16" s="135">
        <f>Lookup!B35</f>
        <v>0</v>
      </c>
      <c r="B16" s="134">
        <f>Lookup!C34</f>
        <v>0</v>
      </c>
      <c r="C16" s="133">
        <f>Lookup!D34</f>
        <v>0</v>
      </c>
      <c r="D16" s="136">
        <f>'Lifetime Gifts'!L17</f>
        <v>0</v>
      </c>
      <c r="E16" s="136">
        <f t="shared" si="1"/>
        <v>0</v>
      </c>
      <c r="F16" s="133">
        <f t="shared" si="2"/>
        <v>0</v>
      </c>
      <c r="G16" s="136">
        <f t="shared" si="3"/>
        <v>0</v>
      </c>
      <c r="H16" s="136">
        <f t="shared" si="4"/>
        <v>0</v>
      </c>
      <c r="I16" s="133">
        <f>IF('Lifetime Gifts'!Y17="donor",H16*25%,0)</f>
        <v>0</v>
      </c>
      <c r="J16" s="133">
        <f aca="true" t="shared" si="11" ref="J16:T16">IF(J$1&gt;$U$2,J$3,0)</f>
        <v>0</v>
      </c>
      <c r="K16" s="133">
        <f t="shared" si="11"/>
        <v>0</v>
      </c>
      <c r="L16" s="133">
        <f t="shared" si="11"/>
        <v>0</v>
      </c>
      <c r="M16" s="133">
        <f t="shared" si="11"/>
        <v>0</v>
      </c>
      <c r="N16" s="133">
        <f t="shared" si="11"/>
        <v>0</v>
      </c>
      <c r="O16" s="133">
        <f t="shared" si="11"/>
        <v>0</v>
      </c>
      <c r="P16" s="133">
        <f t="shared" si="11"/>
        <v>0</v>
      </c>
      <c r="Q16" s="133">
        <f t="shared" si="11"/>
        <v>0</v>
      </c>
      <c r="R16" s="133">
        <f t="shared" si="11"/>
        <v>0</v>
      </c>
      <c r="S16" s="133">
        <f t="shared" si="11"/>
        <v>0</v>
      </c>
      <c r="T16" s="133">
        <f t="shared" si="11"/>
        <v>0</v>
      </c>
      <c r="AA16" s="136">
        <f t="shared" si="5"/>
        <v>0</v>
      </c>
    </row>
    <row r="17" spans="1:27" ht="12.75">
      <c r="A17" s="135">
        <f>Lookup!B33</f>
        <v>0</v>
      </c>
      <c r="B17" s="134">
        <f>Lookup!C33</f>
        <v>0</v>
      </c>
      <c r="C17" s="133">
        <f>Lookup!D33</f>
        <v>0</v>
      </c>
      <c r="D17" s="136">
        <f>'Lifetime Gifts'!L15</f>
        <v>0</v>
      </c>
      <c r="E17" s="136">
        <f t="shared" si="1"/>
        <v>0</v>
      </c>
      <c r="F17" s="133">
        <f t="shared" si="2"/>
        <v>0</v>
      </c>
      <c r="G17" s="136">
        <f t="shared" si="3"/>
        <v>0</v>
      </c>
      <c r="H17" s="136">
        <f t="shared" si="4"/>
        <v>0</v>
      </c>
      <c r="I17" s="133">
        <f>IF('Lifetime Gifts'!Y15="donor",H17*25%,0)</f>
        <v>0</v>
      </c>
      <c r="J17" s="133">
        <f aca="true" t="shared" si="12" ref="J17:U17">IF(J$1&gt;$V$2,J$3,0)</f>
        <v>0</v>
      </c>
      <c r="K17" s="133">
        <f t="shared" si="12"/>
        <v>0</v>
      </c>
      <c r="L17" s="133">
        <f t="shared" si="12"/>
        <v>0</v>
      </c>
      <c r="M17" s="133">
        <f t="shared" si="12"/>
        <v>0</v>
      </c>
      <c r="N17" s="133">
        <f t="shared" si="12"/>
        <v>0</v>
      </c>
      <c r="O17" s="133">
        <f t="shared" si="12"/>
        <v>0</v>
      </c>
      <c r="P17" s="133">
        <f t="shared" si="12"/>
        <v>0</v>
      </c>
      <c r="Q17" s="133">
        <f t="shared" si="12"/>
        <v>0</v>
      </c>
      <c r="R17" s="133">
        <f t="shared" si="12"/>
        <v>0</v>
      </c>
      <c r="S17" s="133">
        <f t="shared" si="12"/>
        <v>0</v>
      </c>
      <c r="T17" s="133">
        <f t="shared" si="12"/>
        <v>0</v>
      </c>
      <c r="U17" s="133">
        <f t="shared" si="12"/>
        <v>0</v>
      </c>
      <c r="AA17" s="136">
        <f t="shared" si="5"/>
        <v>0</v>
      </c>
    </row>
    <row r="18" spans="1:27" ht="12.75">
      <c r="A18" s="135">
        <f>Lookup!B32</f>
        <v>0</v>
      </c>
      <c r="B18" s="134">
        <f>Lookup!C32</f>
        <v>0</v>
      </c>
      <c r="C18" s="133">
        <f>Lookup!D32</f>
        <v>0</v>
      </c>
      <c r="D18" s="136">
        <f>'Lifetime Gifts'!L13</f>
        <v>0</v>
      </c>
      <c r="E18" s="136">
        <f t="shared" si="1"/>
        <v>0</v>
      </c>
      <c r="F18" s="133">
        <f t="shared" si="2"/>
        <v>0</v>
      </c>
      <c r="G18" s="136">
        <f t="shared" si="3"/>
        <v>0</v>
      </c>
      <c r="H18" s="136">
        <f t="shared" si="4"/>
        <v>0</v>
      </c>
      <c r="I18" s="133">
        <f>IF('Lifetime Gifts'!Y13="donor",H18*25%,0)</f>
        <v>0</v>
      </c>
      <c r="J18" s="133">
        <f aca="true" t="shared" si="13" ref="J18:V18">IF(J$1&gt;$W$2,J$3,0)</f>
        <v>0</v>
      </c>
      <c r="K18" s="133">
        <f t="shared" si="13"/>
        <v>0</v>
      </c>
      <c r="L18" s="133">
        <f t="shared" si="13"/>
        <v>0</v>
      </c>
      <c r="M18" s="133">
        <f t="shared" si="13"/>
        <v>0</v>
      </c>
      <c r="N18" s="133">
        <f t="shared" si="13"/>
        <v>0</v>
      </c>
      <c r="O18" s="133">
        <f t="shared" si="13"/>
        <v>0</v>
      </c>
      <c r="P18" s="133">
        <f t="shared" si="13"/>
        <v>0</v>
      </c>
      <c r="Q18" s="133">
        <f t="shared" si="13"/>
        <v>0</v>
      </c>
      <c r="R18" s="133">
        <f t="shared" si="13"/>
        <v>0</v>
      </c>
      <c r="S18" s="133">
        <f t="shared" si="13"/>
        <v>0</v>
      </c>
      <c r="T18" s="133">
        <f t="shared" si="13"/>
        <v>0</v>
      </c>
      <c r="U18" s="133">
        <f t="shared" si="13"/>
        <v>0</v>
      </c>
      <c r="V18" s="133">
        <f t="shared" si="13"/>
        <v>0</v>
      </c>
      <c r="AA18" s="136">
        <f t="shared" si="5"/>
        <v>0</v>
      </c>
    </row>
    <row r="19" spans="1:27" ht="12.75">
      <c r="A19" s="135">
        <f>Lookup!B31</f>
        <v>0</v>
      </c>
      <c r="B19" s="134">
        <f>Lookup!C31</f>
        <v>0</v>
      </c>
      <c r="C19" s="133">
        <f>Lookup!D31</f>
        <v>0</v>
      </c>
      <c r="D19" s="136">
        <f>'Lifetime Gifts'!L11</f>
        <v>0</v>
      </c>
      <c r="E19" s="136">
        <f t="shared" si="1"/>
        <v>0</v>
      </c>
      <c r="F19" s="133">
        <f t="shared" si="2"/>
        <v>0</v>
      </c>
      <c r="G19" s="136">
        <f t="shared" si="3"/>
        <v>0</v>
      </c>
      <c r="H19" s="136">
        <f t="shared" si="4"/>
        <v>0</v>
      </c>
      <c r="I19" s="133">
        <f>IF('Lifetime Gifts'!Y11="donor",H19*25%,0)</f>
        <v>0</v>
      </c>
      <c r="J19" s="133">
        <f aca="true" t="shared" si="14" ref="J19:W19">IF(J$1&gt;$X$2,J$3,0)</f>
        <v>0</v>
      </c>
      <c r="K19" s="133">
        <f t="shared" si="14"/>
        <v>0</v>
      </c>
      <c r="L19" s="133">
        <f t="shared" si="14"/>
        <v>0</v>
      </c>
      <c r="M19" s="133">
        <f t="shared" si="14"/>
        <v>0</v>
      </c>
      <c r="N19" s="133">
        <f t="shared" si="14"/>
        <v>0</v>
      </c>
      <c r="O19" s="133">
        <f t="shared" si="14"/>
        <v>0</v>
      </c>
      <c r="P19" s="133">
        <f t="shared" si="14"/>
        <v>0</v>
      </c>
      <c r="Q19" s="133">
        <f t="shared" si="14"/>
        <v>0</v>
      </c>
      <c r="R19" s="133">
        <f t="shared" si="14"/>
        <v>0</v>
      </c>
      <c r="S19" s="133">
        <f t="shared" si="14"/>
        <v>0</v>
      </c>
      <c r="T19" s="133">
        <f t="shared" si="14"/>
        <v>0</v>
      </c>
      <c r="U19" s="133">
        <f t="shared" si="14"/>
        <v>0</v>
      </c>
      <c r="V19" s="133">
        <f t="shared" si="14"/>
        <v>0</v>
      </c>
      <c r="W19" s="133">
        <f t="shared" si="14"/>
        <v>0</v>
      </c>
      <c r="AA19" s="136">
        <f t="shared" si="5"/>
        <v>0</v>
      </c>
    </row>
    <row r="20" spans="1:27" ht="12.75">
      <c r="A20" s="135">
        <f>Lookup!B30</f>
        <v>0</v>
      </c>
      <c r="B20" s="134">
        <f>Lookup!C30</f>
        <v>0</v>
      </c>
      <c r="C20" s="133">
        <f>Lookup!D30</f>
        <v>0</v>
      </c>
      <c r="D20" s="136">
        <f>'Lifetime Gifts'!L9</f>
        <v>0</v>
      </c>
      <c r="E20" s="136">
        <f t="shared" si="1"/>
        <v>0</v>
      </c>
      <c r="F20" s="133">
        <f t="shared" si="2"/>
        <v>0</v>
      </c>
      <c r="G20" s="136">
        <f t="shared" si="3"/>
        <v>0</v>
      </c>
      <c r="H20" s="136">
        <f t="shared" si="4"/>
        <v>0</v>
      </c>
      <c r="I20" s="133">
        <f>IF('Lifetime Gifts'!Y9="donor",H20*25%,0)</f>
        <v>0</v>
      </c>
      <c r="J20" s="133">
        <f aca="true" t="shared" si="15" ref="J20:V20">IF(J$1&gt;$Y2,J$3,0)</f>
        <v>0</v>
      </c>
      <c r="K20" s="133">
        <f t="shared" si="15"/>
        <v>0</v>
      </c>
      <c r="L20" s="133">
        <f t="shared" si="15"/>
        <v>0</v>
      </c>
      <c r="M20" s="133">
        <f t="shared" si="15"/>
        <v>0</v>
      </c>
      <c r="N20" s="133">
        <f t="shared" si="15"/>
        <v>0</v>
      </c>
      <c r="O20" s="133">
        <f t="shared" si="15"/>
        <v>0</v>
      </c>
      <c r="P20" s="133">
        <f t="shared" si="15"/>
        <v>0</v>
      </c>
      <c r="Q20" s="133">
        <f t="shared" si="15"/>
        <v>0</v>
      </c>
      <c r="R20" s="133">
        <f t="shared" si="15"/>
        <v>0</v>
      </c>
      <c r="S20" s="133">
        <f t="shared" si="15"/>
        <v>0</v>
      </c>
      <c r="T20" s="133">
        <f t="shared" si="15"/>
        <v>0</v>
      </c>
      <c r="U20" s="133">
        <f t="shared" si="15"/>
        <v>0</v>
      </c>
      <c r="V20" s="133">
        <f t="shared" si="15"/>
        <v>0</v>
      </c>
      <c r="W20" s="133">
        <f>IF(W$1&gt;$Y$2,W$3,0)</f>
        <v>0</v>
      </c>
      <c r="X20" s="133">
        <f>IF(X$1&gt;$Y$2,X$3,0)</f>
        <v>0</v>
      </c>
      <c r="AA20" s="136">
        <f t="shared" si="5"/>
        <v>0</v>
      </c>
    </row>
    <row r="21" spans="1:27" ht="12.75">
      <c r="A21" s="135">
        <f>Lookup!B29</f>
        <v>0</v>
      </c>
      <c r="B21" s="134">
        <f>Lookup!C29</f>
        <v>0</v>
      </c>
      <c r="C21" s="133">
        <f>Lookup!D29</f>
        <v>0</v>
      </c>
      <c r="D21" s="136">
        <f>'Lifetime Gifts'!L7</f>
        <v>0</v>
      </c>
      <c r="E21" s="136">
        <f t="shared" si="1"/>
        <v>0</v>
      </c>
      <c r="F21" s="133">
        <f t="shared" si="2"/>
        <v>0</v>
      </c>
      <c r="G21" s="136">
        <f t="shared" si="3"/>
        <v>0</v>
      </c>
      <c r="H21" s="136">
        <f t="shared" si="4"/>
        <v>0</v>
      </c>
      <c r="I21" s="133">
        <f>IF('Lifetime Gifts'!Y7="donor",H21*25%,0)</f>
        <v>0</v>
      </c>
      <c r="J21" s="133">
        <f aca="true" t="shared" si="16" ref="J21:Y21">IF(J$1&gt;$Z$2,J$3,0)</f>
        <v>0</v>
      </c>
      <c r="K21" s="133">
        <f t="shared" si="16"/>
        <v>0</v>
      </c>
      <c r="L21" s="133">
        <f t="shared" si="16"/>
        <v>0</v>
      </c>
      <c r="M21" s="133">
        <f t="shared" si="16"/>
        <v>0</v>
      </c>
      <c r="N21" s="133">
        <f t="shared" si="16"/>
        <v>0</v>
      </c>
      <c r="O21" s="133">
        <f t="shared" si="16"/>
        <v>0</v>
      </c>
      <c r="P21" s="133">
        <f t="shared" si="16"/>
        <v>0</v>
      </c>
      <c r="Q21" s="133">
        <f t="shared" si="16"/>
        <v>0</v>
      </c>
      <c r="R21" s="133">
        <f t="shared" si="16"/>
        <v>0</v>
      </c>
      <c r="S21" s="133">
        <f t="shared" si="16"/>
        <v>0</v>
      </c>
      <c r="T21" s="133">
        <f t="shared" si="16"/>
        <v>0</v>
      </c>
      <c r="U21" s="133">
        <f t="shared" si="16"/>
        <v>0</v>
      </c>
      <c r="V21" s="133">
        <f t="shared" si="16"/>
        <v>0</v>
      </c>
      <c r="W21" s="133">
        <f t="shared" si="16"/>
        <v>0</v>
      </c>
      <c r="X21" s="133">
        <f t="shared" si="16"/>
        <v>0</v>
      </c>
      <c r="Y21" s="133">
        <f t="shared" si="16"/>
        <v>0</v>
      </c>
      <c r="AA21" s="136">
        <f t="shared" si="5"/>
        <v>0</v>
      </c>
    </row>
    <row r="22" spans="2:27" ht="12.75">
      <c r="B22" s="134"/>
      <c r="E22" s="136">
        <f t="shared" si="1"/>
        <v>0</v>
      </c>
      <c r="J22" s="133">
        <f aca="true" t="shared" si="17" ref="J22:Z22">IF(J$1&gt;$AA$2,J$3,0)</f>
        <v>0</v>
      </c>
      <c r="K22" s="133">
        <f t="shared" si="17"/>
        <v>0</v>
      </c>
      <c r="L22" s="133">
        <f t="shared" si="17"/>
        <v>0</v>
      </c>
      <c r="M22" s="133">
        <f t="shared" si="17"/>
        <v>0</v>
      </c>
      <c r="N22" s="133">
        <f t="shared" si="17"/>
        <v>0</v>
      </c>
      <c r="O22" s="133">
        <f t="shared" si="17"/>
        <v>0</v>
      </c>
      <c r="P22" s="133">
        <f t="shared" si="17"/>
        <v>0</v>
      </c>
      <c r="Q22" s="133">
        <f t="shared" si="17"/>
        <v>0</v>
      </c>
      <c r="R22" s="133">
        <f t="shared" si="17"/>
        <v>0</v>
      </c>
      <c r="S22" s="133">
        <f t="shared" si="17"/>
        <v>0</v>
      </c>
      <c r="T22" s="133">
        <f t="shared" si="17"/>
        <v>0</v>
      </c>
      <c r="U22" s="133">
        <f t="shared" si="17"/>
        <v>0</v>
      </c>
      <c r="V22" s="133">
        <f t="shared" si="17"/>
        <v>0</v>
      </c>
      <c r="W22" s="133">
        <f t="shared" si="17"/>
        <v>0</v>
      </c>
      <c r="X22" s="133">
        <f t="shared" si="17"/>
        <v>0</v>
      </c>
      <c r="Y22" s="133">
        <f t="shared" si="17"/>
        <v>0</v>
      </c>
      <c r="Z22" s="133">
        <f t="shared" si="17"/>
        <v>0</v>
      </c>
      <c r="AA22" s="136">
        <f t="shared" si="5"/>
        <v>0</v>
      </c>
    </row>
    <row r="23" spans="2:27" ht="12.75">
      <c r="B23" s="134"/>
      <c r="AA23" s="136"/>
    </row>
    <row r="24" spans="2:27" ht="12.75">
      <c r="B24" s="134"/>
      <c r="AA24" s="136"/>
    </row>
    <row r="25" spans="2:27" ht="12.75">
      <c r="B25" s="134"/>
      <c r="AA25" s="136"/>
    </row>
    <row r="26" spans="2:27" ht="12.75">
      <c r="B26" s="134"/>
      <c r="AA26" s="136"/>
    </row>
    <row r="27" spans="2:27" ht="12.75">
      <c r="B27" s="134"/>
      <c r="AA27" s="136"/>
    </row>
    <row r="28" ht="12.75">
      <c r="B28" s="134"/>
    </row>
    <row r="29" ht="12.75">
      <c r="B29" s="134"/>
    </row>
    <row r="30" ht="12.75">
      <c r="B30" s="134"/>
    </row>
    <row r="31" ht="12.75">
      <c r="B31" s="134"/>
    </row>
    <row r="32" ht="12.75">
      <c r="B32" s="134"/>
    </row>
    <row r="33" ht="12.75">
      <c r="B33" s="134"/>
    </row>
    <row r="34" ht="12.75">
      <c r="B34" s="134"/>
    </row>
    <row r="35" ht="12.75">
      <c r="B35" s="134"/>
    </row>
    <row r="36" ht="12.75">
      <c r="B36" s="134"/>
    </row>
    <row r="37" ht="12.75">
      <c r="B37" s="134"/>
    </row>
    <row r="38" ht="12.75">
      <c r="B38" s="134"/>
    </row>
    <row r="39" ht="12.75">
      <c r="B39" s="134"/>
    </row>
    <row r="40" ht="12.75">
      <c r="B40" s="134"/>
    </row>
    <row r="41" ht="12.75">
      <c r="B41" s="134"/>
    </row>
    <row r="42" ht="12.75">
      <c r="B42" s="134"/>
    </row>
    <row r="43" ht="12.75">
      <c r="B43" s="134"/>
    </row>
    <row r="44" ht="12.75">
      <c r="B44" s="134"/>
    </row>
    <row r="45" ht="12.75">
      <c r="B45" s="134"/>
    </row>
    <row r="46" ht="12.75">
      <c r="B46" s="134"/>
    </row>
    <row r="47" ht="12.75">
      <c r="B47" s="134"/>
    </row>
    <row r="48" ht="12.75">
      <c r="B48" s="134"/>
    </row>
    <row r="49" ht="12.75">
      <c r="B49" s="134"/>
    </row>
    <row r="50" ht="12.75">
      <c r="B50" s="134"/>
    </row>
    <row r="51" ht="12.75">
      <c r="B51" s="134"/>
    </row>
    <row r="52" spans="2:4" ht="12.75">
      <c r="B52" s="134"/>
      <c r="D52" s="143"/>
    </row>
    <row r="53" ht="12.75">
      <c r="B53" s="134"/>
    </row>
    <row r="54" ht="12.75">
      <c r="B54" s="134"/>
    </row>
    <row r="55" ht="12.75">
      <c r="B55" s="134"/>
    </row>
    <row r="56" spans="2:4" ht="12.75">
      <c r="B56" s="134"/>
      <c r="D56"/>
    </row>
    <row r="57" ht="12.75">
      <c r="B57" s="134"/>
    </row>
    <row r="58" ht="12.75">
      <c r="B58" s="134"/>
    </row>
    <row r="59" ht="12.75">
      <c r="B59" s="134"/>
    </row>
    <row r="60" ht="12.75">
      <c r="B60" s="134"/>
    </row>
    <row r="61" ht="12.75">
      <c r="B61" s="134"/>
    </row>
    <row r="62" ht="12.75">
      <c r="B62" s="134"/>
    </row>
    <row r="63" ht="12.75">
      <c r="B63" s="134"/>
    </row>
    <row r="64" ht="12.75">
      <c r="B64" s="134"/>
    </row>
    <row r="65" ht="12.75">
      <c r="B65" s="134"/>
    </row>
    <row r="66" ht="12.75">
      <c r="B66" s="134"/>
    </row>
    <row r="67" ht="12.75">
      <c r="B67" s="134"/>
    </row>
    <row r="68" ht="12.75">
      <c r="B68" s="134"/>
    </row>
    <row r="69" ht="12.75">
      <c r="B69" s="134"/>
    </row>
    <row r="70" ht="12.75">
      <c r="B70" s="134"/>
    </row>
    <row r="71" ht="12.75">
      <c r="B71" s="134"/>
    </row>
    <row r="72" ht="12.75">
      <c r="B72" s="134"/>
    </row>
    <row r="73" ht="12.75">
      <c r="B73" s="134"/>
    </row>
    <row r="74" ht="12.75">
      <c r="B74" s="134"/>
    </row>
    <row r="75" ht="12.75">
      <c r="B75" s="134"/>
    </row>
    <row r="76" ht="12.75">
      <c r="B76" s="134"/>
    </row>
    <row r="77" ht="12.75">
      <c r="B77" s="134"/>
    </row>
    <row r="78" ht="12.75">
      <c r="B78" s="134"/>
    </row>
    <row r="79" ht="12.75">
      <c r="B79" s="134"/>
    </row>
    <row r="80" ht="12.75">
      <c r="B80" s="134"/>
    </row>
    <row r="81" ht="12.75">
      <c r="B81" s="134"/>
    </row>
    <row r="82" ht="12.75">
      <c r="B82" s="134"/>
    </row>
    <row r="83" ht="12.75">
      <c r="B83" s="134"/>
    </row>
    <row r="84" ht="12.75">
      <c r="B84" s="134"/>
    </row>
    <row r="85" ht="12.75">
      <c r="B85" s="134"/>
    </row>
    <row r="86" ht="12.75">
      <c r="B86" s="134"/>
    </row>
    <row r="87" ht="12.75">
      <c r="B87" s="134"/>
    </row>
    <row r="88" ht="12.75">
      <c r="B88" s="134"/>
    </row>
    <row r="89" ht="12.75">
      <c r="B89" s="134"/>
    </row>
    <row r="90" ht="12.75">
      <c r="B90" s="134"/>
    </row>
    <row r="91" ht="12.75">
      <c r="B91" s="134"/>
    </row>
    <row r="92" ht="12.75">
      <c r="B92" s="134"/>
    </row>
    <row r="93" ht="12.75">
      <c r="B93" s="134"/>
    </row>
    <row r="94" ht="12.75">
      <c r="B94" s="134"/>
    </row>
    <row r="95" ht="12.75">
      <c r="B95" s="134"/>
    </row>
    <row r="96" ht="12.75">
      <c r="B96" s="134"/>
    </row>
    <row r="97" ht="12.75">
      <c r="B97" s="134"/>
    </row>
    <row r="98" ht="12.75">
      <c r="B98" s="134"/>
    </row>
    <row r="99" ht="12.75">
      <c r="B99" s="134"/>
    </row>
    <row r="100" ht="12.75">
      <c r="B100" s="134"/>
    </row>
    <row r="101" ht="12.75">
      <c r="B101" s="134"/>
    </row>
    <row r="102" ht="12.75">
      <c r="B102" s="134"/>
    </row>
    <row r="103" ht="12.75">
      <c r="B103" s="134"/>
    </row>
    <row r="104" ht="12.75">
      <c r="B104" s="134"/>
    </row>
    <row r="105" ht="12.75">
      <c r="B105" s="134"/>
    </row>
    <row r="106" ht="12.75">
      <c r="B106" s="134"/>
    </row>
    <row r="107" ht="12.75">
      <c r="B107" s="134"/>
    </row>
    <row r="108" ht="12.75">
      <c r="B108" s="134"/>
    </row>
    <row r="109" ht="12.75">
      <c r="B109" s="134"/>
    </row>
    <row r="110" ht="12.75">
      <c r="B110" s="134"/>
    </row>
    <row r="111" ht="12.75">
      <c r="B111" s="134"/>
    </row>
    <row r="112" ht="12.75">
      <c r="B112" s="134"/>
    </row>
    <row r="113" ht="12.75">
      <c r="B113" s="134"/>
    </row>
    <row r="114" ht="12.75">
      <c r="B114" s="134"/>
    </row>
    <row r="115" ht="12.75">
      <c r="B115" s="134"/>
    </row>
    <row r="116" ht="12.75">
      <c r="B116" s="134"/>
    </row>
    <row r="117" ht="12.75">
      <c r="B117" s="134"/>
    </row>
    <row r="118" ht="12.75">
      <c r="B118" s="134"/>
    </row>
    <row r="119" ht="12.75">
      <c r="B119" s="134"/>
    </row>
    <row r="120" ht="12.75">
      <c r="B120" s="134"/>
    </row>
    <row r="121" ht="12.75">
      <c r="B121" s="134"/>
    </row>
    <row r="122" ht="12.75">
      <c r="B122" s="134"/>
    </row>
    <row r="123" ht="12.75">
      <c r="B123" s="134"/>
    </row>
    <row r="124" ht="12.75">
      <c r="B124" s="134"/>
    </row>
    <row r="125" ht="12.75">
      <c r="B125" s="134"/>
    </row>
    <row r="126" ht="12.75">
      <c r="B126" s="134"/>
    </row>
    <row r="127" ht="12.75">
      <c r="B127" s="134"/>
    </row>
    <row r="128" ht="12.75">
      <c r="B128" s="134"/>
    </row>
    <row r="129" ht="12.75">
      <c r="B129" s="134"/>
    </row>
    <row r="130" ht="12.75">
      <c r="B130" s="134"/>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14"/>
  <dimension ref="B3:E49"/>
  <sheetViews>
    <sheetView showGridLines="0" showRowColHeaders="0" zoomScalePageLayoutView="0" workbookViewId="0" topLeftCell="A1">
      <selection activeCell="E38" sqref="E38"/>
    </sheetView>
  </sheetViews>
  <sheetFormatPr defaultColWidth="9.00390625" defaultRowHeight="12.75"/>
  <cols>
    <col min="3" max="3" width="43.375" style="0" customWidth="1"/>
    <col min="5" max="5" width="11.375" style="0" customWidth="1"/>
  </cols>
  <sheetData>
    <row r="3" ht="22.5">
      <c r="C3" s="148" t="s">
        <v>243</v>
      </c>
    </row>
    <row r="4" ht="12.75">
      <c r="C4" s="149" t="s">
        <v>244</v>
      </c>
    </row>
    <row r="5" ht="12.75">
      <c r="C5" s="150" t="s">
        <v>245</v>
      </c>
    </row>
    <row r="6" ht="18">
      <c r="C6" s="151" t="s">
        <v>246</v>
      </c>
    </row>
    <row r="7" ht="18">
      <c r="C7" s="151" t="s">
        <v>247</v>
      </c>
    </row>
    <row r="8" ht="18">
      <c r="C8" s="151" t="s">
        <v>248</v>
      </c>
    </row>
    <row r="9" ht="18">
      <c r="C9" s="152" t="s">
        <v>249</v>
      </c>
    </row>
    <row r="10" ht="18">
      <c r="C10" s="151" t="s">
        <v>250</v>
      </c>
    </row>
    <row r="11" ht="12.75">
      <c r="C11" s="150" t="s">
        <v>251</v>
      </c>
    </row>
    <row r="12" ht="18">
      <c r="C12" s="151" t="s">
        <v>252</v>
      </c>
    </row>
    <row r="13" ht="18">
      <c r="C13" s="151" t="s">
        <v>253</v>
      </c>
    </row>
    <row r="14" ht="12.75">
      <c r="C14" s="153"/>
    </row>
    <row r="15" ht="12.75">
      <c r="C15" s="153"/>
    </row>
    <row r="16" ht="22.5">
      <c r="C16" s="148" t="s">
        <v>254</v>
      </c>
    </row>
    <row r="17" ht="12.75">
      <c r="C17" s="149" t="s">
        <v>255</v>
      </c>
    </row>
    <row r="18" ht="18">
      <c r="C18" s="151" t="s">
        <v>256</v>
      </c>
    </row>
    <row r="19" ht="18">
      <c r="C19" s="151" t="s">
        <v>257</v>
      </c>
    </row>
    <row r="20" ht="18">
      <c r="C20" s="151" t="s">
        <v>258</v>
      </c>
    </row>
    <row r="21" ht="18">
      <c r="C21" s="151" t="s">
        <v>259</v>
      </c>
    </row>
    <row r="22" ht="18">
      <c r="C22" s="151" t="s">
        <v>260</v>
      </c>
    </row>
    <row r="23" ht="12.75">
      <c r="C23" s="150" t="s">
        <v>261</v>
      </c>
    </row>
    <row r="24" ht="12.75">
      <c r="C24" s="153"/>
    </row>
    <row r="25" ht="12.75">
      <c r="C25" s="153"/>
    </row>
    <row r="26" spans="2:3" ht="22.5">
      <c r="B26" s="148"/>
      <c r="C26" s="148" t="s">
        <v>262</v>
      </c>
    </row>
    <row r="28" spans="3:5" ht="35.25" customHeight="1">
      <c r="C28" s="154" t="s">
        <v>263</v>
      </c>
      <c r="E28" s="154" t="s">
        <v>264</v>
      </c>
    </row>
    <row r="29" spans="3:5" ht="21.75" customHeight="1">
      <c r="C29" s="155" t="s">
        <v>265</v>
      </c>
      <c r="E29" s="156">
        <v>1</v>
      </c>
    </row>
    <row r="30" spans="3:5" ht="21.75" customHeight="1">
      <c r="C30" s="155" t="s">
        <v>266</v>
      </c>
      <c r="E30" s="156">
        <v>0.8</v>
      </c>
    </row>
    <row r="31" spans="3:5" ht="21.75" customHeight="1">
      <c r="C31" s="155" t="s">
        <v>267</v>
      </c>
      <c r="E31" s="156">
        <v>0.6</v>
      </c>
    </row>
    <row r="32" spans="3:5" ht="21.75" customHeight="1">
      <c r="C32" s="155" t="s">
        <v>268</v>
      </c>
      <c r="E32" s="156">
        <v>0.4</v>
      </c>
    </row>
    <row r="33" spans="3:5" ht="21.75" customHeight="1">
      <c r="C33" s="155" t="s">
        <v>269</v>
      </c>
      <c r="E33" s="156">
        <v>0.2</v>
      </c>
    </row>
    <row r="35" ht="17.25">
      <c r="C35" s="157" t="s">
        <v>270</v>
      </c>
    </row>
    <row r="37" spans="3:5" ht="21.75" customHeight="1">
      <c r="C37" s="155" t="s">
        <v>271</v>
      </c>
      <c r="E37" s="158">
        <v>42004</v>
      </c>
    </row>
    <row r="38" spans="3:5" ht="21.75" customHeight="1">
      <c r="C38" s="155" t="s">
        <v>272</v>
      </c>
      <c r="E38" s="158">
        <v>43281</v>
      </c>
    </row>
    <row r="39" spans="3:5" ht="21.75" customHeight="1">
      <c r="C39" s="155" t="s">
        <v>273</v>
      </c>
      <c r="E39" s="159">
        <v>350000</v>
      </c>
    </row>
    <row r="40" spans="3:5" ht="21.75" customHeight="1">
      <c r="C40" s="155" t="s">
        <v>274</v>
      </c>
      <c r="E40" s="159">
        <v>10000</v>
      </c>
    </row>
    <row r="41" ht="15">
      <c r="C41" s="155"/>
    </row>
    <row r="42" ht="17.25">
      <c r="C42" s="157" t="s">
        <v>275</v>
      </c>
    </row>
    <row r="43" spans="3:5" ht="21.75" customHeight="1">
      <c r="C43" s="155" t="s">
        <v>276</v>
      </c>
      <c r="D43" s="160" t="s">
        <v>125</v>
      </c>
      <c r="E43" s="6">
        <f>IF(E39&gt;0,E39-E40,0)</f>
        <v>340000</v>
      </c>
    </row>
    <row r="44" spans="3:5" ht="21.75" customHeight="1">
      <c r="C44" s="155" t="s">
        <v>273</v>
      </c>
      <c r="D44" s="160" t="s">
        <v>128</v>
      </c>
      <c r="E44" s="6">
        <f>IF(E39&gt;0,E39,0)</f>
        <v>350000</v>
      </c>
    </row>
    <row r="45" spans="3:5" ht="21.75" customHeight="1">
      <c r="C45" s="155" t="s">
        <v>274</v>
      </c>
      <c r="D45" s="160" t="s">
        <v>277</v>
      </c>
      <c r="E45">
        <f>IF(E40&gt;0,E40,0)</f>
        <v>10000</v>
      </c>
    </row>
    <row r="46" spans="3:4" ht="21.75" customHeight="1">
      <c r="C46" s="155"/>
      <c r="D46" s="160"/>
    </row>
    <row r="47" spans="3:5" ht="21.75" customHeight="1">
      <c r="C47" s="155" t="s">
        <v>278</v>
      </c>
      <c r="D47" s="160"/>
      <c r="E47">
        <f>ROUND(IF(E43&gt;0,E43/E44*E45),0)</f>
        <v>9714</v>
      </c>
    </row>
    <row r="48" spans="3:5" ht="21.75" customHeight="1">
      <c r="C48" s="155" t="s">
        <v>279</v>
      </c>
      <c r="D48" s="160"/>
      <c r="E48" s="162">
        <f>Lookup!P27</f>
        <v>0.4</v>
      </c>
    </row>
    <row r="49" spans="3:5" ht="21.75" customHeight="1" thickBot="1">
      <c r="C49" s="155"/>
      <c r="D49" s="160"/>
      <c r="E49" s="163">
        <f>ROUNDDOWN(E47*E48,0)</f>
        <v>3885</v>
      </c>
    </row>
    <row r="50" ht="13.5" thickTop="1"/>
  </sheetData>
  <sheetProtection selectLockedCells="1"/>
  <hyperlinks>
    <hyperlink ref="C4" r:id="rId1" display="https://www.gov.uk/hmrc-internal-manuals/inheritance-tax-manual/ihtm22041"/>
    <hyperlink ref="C5" r:id="rId2" display="https://www.gov.uk/hmrc-internal-manuals/inheritance-tax-manual/ihtm04027"/>
    <hyperlink ref="C11" r:id="rId3" display="https://www.gov.uk/hmrc-internal-manuals/inheritance-tax-manual/ihtm04067"/>
    <hyperlink ref="C17" r:id="rId4" display="https://www.gov.uk/hmrc-internal-manuals/inheritance-tax-manual/ihtm22041"/>
    <hyperlink ref="C23" r:id="rId5" display="https://www.gov.uk/hmrc-internal-manuals/inheritance-tax-manual/ihtm04027"/>
  </hyperlinks>
  <printOptions/>
  <pageMargins left="0.7" right="0.7" top="0.75" bottom="0.75" header="0.3" footer="0.3"/>
  <pageSetup orientation="portrait" paperSize="9"/>
  <legacyDrawing r:id="rId6"/>
</worksheet>
</file>

<file path=xl/worksheets/sheet8.xml><?xml version="1.0" encoding="utf-8"?>
<worksheet xmlns="http://schemas.openxmlformats.org/spreadsheetml/2006/main" xmlns:r="http://schemas.openxmlformats.org/officeDocument/2006/relationships">
  <sheetPr codeName="Sheet12">
    <pageSetUpPr fitToPage="1"/>
  </sheetPr>
  <dimension ref="A1:P48"/>
  <sheetViews>
    <sheetView showZeros="0" showOutlineSymbols="0" zoomScalePageLayoutView="0" workbookViewId="0" topLeftCell="A3">
      <selection activeCell="B5" sqref="B5"/>
    </sheetView>
  </sheetViews>
  <sheetFormatPr defaultColWidth="9.00390625" defaultRowHeight="12.75"/>
  <cols>
    <col min="1" max="1" width="10.50390625" style="0" bestFit="1" customWidth="1"/>
    <col min="2" max="2" width="12.50390625" style="0" customWidth="1"/>
    <col min="3" max="3" width="12.00390625" style="0" customWidth="1"/>
    <col min="5" max="5" width="12.50390625" style="0" customWidth="1"/>
    <col min="6" max="6" width="12.00390625" style="0" customWidth="1"/>
    <col min="7" max="7" width="10.50390625" style="0" bestFit="1" customWidth="1"/>
    <col min="8" max="8" width="12.50390625" style="0" customWidth="1"/>
    <col min="9" max="9" width="12.00390625" style="0" customWidth="1"/>
    <col min="10" max="10" width="11.625" style="0" customWidth="1"/>
    <col min="11" max="12" width="12.50390625" style="0" customWidth="1"/>
    <col min="14" max="14" width="12.50390625" style="0" customWidth="1"/>
    <col min="15" max="15" width="12.00390625" style="0" customWidth="1"/>
    <col min="17" max="17" width="12.50390625" style="0" customWidth="1"/>
    <col min="18" max="18" width="12.00390625" style="0" customWidth="1"/>
    <col min="20" max="20" width="12.50390625" style="0" customWidth="1"/>
    <col min="21" max="21" width="12.00390625" style="0" customWidth="1"/>
    <col min="23" max="23" width="12.50390625" style="0" customWidth="1"/>
    <col min="24" max="24" width="12.00390625" style="0" customWidth="1"/>
    <col min="26" max="26" width="12.50390625" style="0" customWidth="1"/>
    <col min="27" max="27" width="12.00390625" style="0" customWidth="1"/>
  </cols>
  <sheetData>
    <row r="1" spans="2:13" ht="19.5" customHeight="1" thickBot="1">
      <c r="B1" s="19" t="s">
        <v>236</v>
      </c>
      <c r="H1" s="19" t="s">
        <v>237</v>
      </c>
      <c r="M1" s="19" t="s">
        <v>242</v>
      </c>
    </row>
    <row r="2" spans="2:15" ht="12.75">
      <c r="B2" s="38"/>
      <c r="C2" s="38"/>
      <c r="I2" s="38"/>
      <c r="J2" s="38"/>
      <c r="N2" s="38"/>
      <c r="O2" s="38"/>
    </row>
    <row r="3" spans="2:15" ht="13.5" thickBot="1">
      <c r="B3" s="49" t="s">
        <v>104</v>
      </c>
      <c r="C3" s="49" t="s">
        <v>105</v>
      </c>
      <c r="I3" s="49" t="s">
        <v>104</v>
      </c>
      <c r="J3" s="49" t="s">
        <v>105</v>
      </c>
      <c r="N3" s="49" t="s">
        <v>104</v>
      </c>
      <c r="O3" s="49" t="s">
        <v>280</v>
      </c>
    </row>
    <row r="4" spans="1:15" ht="13.5" thickBot="1">
      <c r="A4" s="129">
        <f>B4</f>
        <v>31489</v>
      </c>
      <c r="B4" s="46">
        <v>31489</v>
      </c>
      <c r="C4" s="44">
        <v>71000</v>
      </c>
      <c r="D4" s="50">
        <v>0.2</v>
      </c>
      <c r="E4" s="51">
        <v>0.4</v>
      </c>
      <c r="H4" s="129">
        <f>I4</f>
        <v>31489</v>
      </c>
      <c r="I4" s="46">
        <v>31489</v>
      </c>
      <c r="J4" s="44">
        <v>0</v>
      </c>
      <c r="M4" s="129">
        <f>N4</f>
        <v>42004</v>
      </c>
      <c r="N4" s="46">
        <f>QSR!E37</f>
        <v>42004</v>
      </c>
      <c r="O4" s="161">
        <v>1</v>
      </c>
    </row>
    <row r="5" spans="1:15" ht="13.5" thickBot="1">
      <c r="A5" s="129">
        <f>B5</f>
        <v>31853</v>
      </c>
      <c r="B5" s="46">
        <v>31853</v>
      </c>
      <c r="C5" s="44">
        <v>90000</v>
      </c>
      <c r="D5" s="50">
        <v>0.2</v>
      </c>
      <c r="E5" s="51">
        <v>0.4</v>
      </c>
      <c r="H5" s="129">
        <f>I5</f>
        <v>42831</v>
      </c>
      <c r="I5" s="46">
        <v>42831</v>
      </c>
      <c r="J5" s="44">
        <v>100000</v>
      </c>
      <c r="M5" s="129">
        <f>N5</f>
        <v>42369</v>
      </c>
      <c r="N5" s="46">
        <f>EDATE(N4,12)</f>
        <v>42369</v>
      </c>
      <c r="O5" s="50">
        <v>0.8</v>
      </c>
    </row>
    <row r="6" spans="1:15" ht="13.5" thickBot="1">
      <c r="A6" s="129">
        <f>B6</f>
        <v>32217</v>
      </c>
      <c r="B6" s="46">
        <v>32217</v>
      </c>
      <c r="C6" s="44">
        <v>110000</v>
      </c>
      <c r="D6" s="50">
        <v>0.2</v>
      </c>
      <c r="E6" s="51">
        <v>0.4</v>
      </c>
      <c r="H6" s="129">
        <f aca="true" t="shared" si="0" ref="H6:H25">I6</f>
        <v>43196</v>
      </c>
      <c r="I6" s="46">
        <v>43196</v>
      </c>
      <c r="J6" s="44">
        <v>125000</v>
      </c>
      <c r="M6" s="129">
        <f aca="true" t="shared" si="1" ref="M6:M25">N6</f>
        <v>42735</v>
      </c>
      <c r="N6" s="46">
        <f aca="true" t="shared" si="2" ref="N6:N25">EDATE(N5,12)</f>
        <v>42735</v>
      </c>
      <c r="O6" s="50">
        <v>0.6</v>
      </c>
    </row>
    <row r="7" spans="1:15" ht="13.5" thickBot="1">
      <c r="A7" s="129">
        <f aca="true" t="shared" si="3" ref="A7:A25">B7</f>
        <v>32604</v>
      </c>
      <c r="B7" s="46">
        <v>32604</v>
      </c>
      <c r="C7" s="44">
        <v>118000</v>
      </c>
      <c r="D7" s="50">
        <v>0.2</v>
      </c>
      <c r="E7" s="51">
        <v>0.4</v>
      </c>
      <c r="H7" s="129">
        <f t="shared" si="0"/>
        <v>43561</v>
      </c>
      <c r="I7" s="46">
        <v>43561</v>
      </c>
      <c r="J7" s="44">
        <v>150000</v>
      </c>
      <c r="M7" s="129">
        <f t="shared" si="1"/>
        <v>43100</v>
      </c>
      <c r="N7" s="46">
        <f t="shared" si="2"/>
        <v>43100</v>
      </c>
      <c r="O7" s="50">
        <v>0.4</v>
      </c>
    </row>
    <row r="8" spans="1:15" ht="13.5" thickBot="1">
      <c r="A8" s="129">
        <f t="shared" si="3"/>
        <v>32969</v>
      </c>
      <c r="B8" s="46">
        <v>32969</v>
      </c>
      <c r="C8" s="44">
        <v>128000</v>
      </c>
      <c r="D8" s="50">
        <v>0.2</v>
      </c>
      <c r="E8" s="51">
        <v>0.4</v>
      </c>
      <c r="H8" s="129">
        <f t="shared" si="0"/>
        <v>43927</v>
      </c>
      <c r="I8" s="46">
        <v>43927</v>
      </c>
      <c r="J8" s="44">
        <v>175000</v>
      </c>
      <c r="M8" s="129">
        <f t="shared" si="1"/>
        <v>43465</v>
      </c>
      <c r="N8" s="46">
        <f t="shared" si="2"/>
        <v>43465</v>
      </c>
      <c r="O8" s="50">
        <v>0.2</v>
      </c>
    </row>
    <row r="9" spans="1:15" ht="13.5" thickBot="1">
      <c r="A9" s="129">
        <f t="shared" si="3"/>
        <v>33334</v>
      </c>
      <c r="B9" s="46">
        <v>33334</v>
      </c>
      <c r="C9" s="44">
        <v>140000</v>
      </c>
      <c r="D9" s="50">
        <v>0.2</v>
      </c>
      <c r="E9" s="51">
        <v>0.4</v>
      </c>
      <c r="H9" s="129">
        <f t="shared" si="0"/>
        <v>44292</v>
      </c>
      <c r="I9" s="46">
        <v>44292</v>
      </c>
      <c r="J9" s="44">
        <v>175000</v>
      </c>
      <c r="M9" s="129">
        <f t="shared" si="1"/>
        <v>43830</v>
      </c>
      <c r="N9" s="46">
        <f t="shared" si="2"/>
        <v>43830</v>
      </c>
      <c r="O9" s="50">
        <v>0</v>
      </c>
    </row>
    <row r="10" spans="1:15" ht="13.5" thickBot="1">
      <c r="A10" s="129">
        <f t="shared" si="3"/>
        <v>33673</v>
      </c>
      <c r="B10" s="46">
        <v>33673</v>
      </c>
      <c r="C10" s="44">
        <v>150000</v>
      </c>
      <c r="D10" s="50">
        <v>0.2</v>
      </c>
      <c r="E10" s="51">
        <v>0.4</v>
      </c>
      <c r="H10" s="129">
        <f t="shared" si="0"/>
        <v>44657</v>
      </c>
      <c r="I10" s="46">
        <v>44657</v>
      </c>
      <c r="J10" s="44">
        <v>175000</v>
      </c>
      <c r="M10" s="129">
        <f t="shared" si="1"/>
        <v>44196</v>
      </c>
      <c r="N10" s="46">
        <f t="shared" si="2"/>
        <v>44196</v>
      </c>
      <c r="O10" s="50">
        <v>0</v>
      </c>
    </row>
    <row r="11" spans="1:15" ht="13.5" thickBot="1">
      <c r="A11" s="129">
        <f t="shared" si="3"/>
        <v>34795</v>
      </c>
      <c r="B11" s="46">
        <v>34795</v>
      </c>
      <c r="C11" s="44">
        <v>154000</v>
      </c>
      <c r="D11" s="50">
        <v>0.2</v>
      </c>
      <c r="E11" s="51">
        <v>0.4</v>
      </c>
      <c r="H11" s="129">
        <f t="shared" si="0"/>
        <v>45022</v>
      </c>
      <c r="I11" s="46">
        <v>45022</v>
      </c>
      <c r="J11" s="44">
        <v>175000</v>
      </c>
      <c r="M11" s="129">
        <f t="shared" si="1"/>
        <v>44561</v>
      </c>
      <c r="N11" s="46">
        <f t="shared" si="2"/>
        <v>44561</v>
      </c>
      <c r="O11" s="50">
        <v>0</v>
      </c>
    </row>
    <row r="12" spans="1:15" ht="13.5" thickBot="1">
      <c r="A12" s="129">
        <f t="shared" si="3"/>
        <v>35161</v>
      </c>
      <c r="B12" s="46">
        <v>35161</v>
      </c>
      <c r="C12" s="44">
        <v>200000</v>
      </c>
      <c r="D12" s="50">
        <v>0.2</v>
      </c>
      <c r="E12" s="51">
        <v>0.4</v>
      </c>
      <c r="H12" s="129">
        <f t="shared" si="0"/>
        <v>45388</v>
      </c>
      <c r="I12" s="46">
        <v>45388</v>
      </c>
      <c r="J12" s="44">
        <v>175000</v>
      </c>
      <c r="M12" s="129">
        <f t="shared" si="1"/>
        <v>44926</v>
      </c>
      <c r="N12" s="46">
        <f t="shared" si="2"/>
        <v>44926</v>
      </c>
      <c r="O12" s="50">
        <v>0</v>
      </c>
    </row>
    <row r="13" spans="1:15" ht="13.5" thickBot="1">
      <c r="A13" s="129">
        <f t="shared" si="3"/>
        <v>35526</v>
      </c>
      <c r="B13" s="46">
        <v>35526</v>
      </c>
      <c r="C13" s="44">
        <v>215000</v>
      </c>
      <c r="D13" s="50">
        <v>0.2</v>
      </c>
      <c r="E13" s="51">
        <v>0.4</v>
      </c>
      <c r="H13" s="129">
        <f t="shared" si="0"/>
        <v>45753</v>
      </c>
      <c r="I13" s="46">
        <v>45753</v>
      </c>
      <c r="J13" s="44">
        <v>175000</v>
      </c>
      <c r="M13" s="129">
        <f t="shared" si="1"/>
        <v>45291</v>
      </c>
      <c r="N13" s="46">
        <f t="shared" si="2"/>
        <v>45291</v>
      </c>
      <c r="O13" s="50">
        <v>0</v>
      </c>
    </row>
    <row r="14" spans="1:15" ht="13.5" thickBot="1">
      <c r="A14" s="129">
        <f t="shared" si="3"/>
        <v>35891</v>
      </c>
      <c r="B14" s="46">
        <v>35891</v>
      </c>
      <c r="C14" s="44">
        <v>223000</v>
      </c>
      <c r="D14" s="50">
        <v>0.2</v>
      </c>
      <c r="E14" s="51">
        <v>0.4</v>
      </c>
      <c r="H14" s="129">
        <f t="shared" si="0"/>
        <v>46118</v>
      </c>
      <c r="I14" s="46">
        <v>46118</v>
      </c>
      <c r="J14" s="44">
        <v>175000</v>
      </c>
      <c r="M14" s="129">
        <f t="shared" si="1"/>
        <v>45657</v>
      </c>
      <c r="N14" s="46">
        <f t="shared" si="2"/>
        <v>45657</v>
      </c>
      <c r="O14" s="50">
        <v>0</v>
      </c>
    </row>
    <row r="15" spans="1:15" ht="13.5" thickBot="1">
      <c r="A15" s="129">
        <f t="shared" si="3"/>
        <v>36256</v>
      </c>
      <c r="B15" s="46">
        <v>36256</v>
      </c>
      <c r="C15" s="44">
        <v>231000</v>
      </c>
      <c r="D15" s="50">
        <v>0.2</v>
      </c>
      <c r="E15" s="51">
        <v>0.4</v>
      </c>
      <c r="H15" s="129">
        <f t="shared" si="0"/>
        <v>46483</v>
      </c>
      <c r="I15" s="46">
        <v>46483</v>
      </c>
      <c r="J15" s="44">
        <v>175000</v>
      </c>
      <c r="M15" s="129">
        <f t="shared" si="1"/>
        <v>46022</v>
      </c>
      <c r="N15" s="46">
        <f t="shared" si="2"/>
        <v>46022</v>
      </c>
      <c r="O15" s="50">
        <v>0</v>
      </c>
    </row>
    <row r="16" spans="1:15" ht="13.5" thickBot="1">
      <c r="A16" s="129">
        <f t="shared" si="3"/>
        <v>36622</v>
      </c>
      <c r="B16" s="46">
        <v>36622</v>
      </c>
      <c r="C16" s="44">
        <v>234000</v>
      </c>
      <c r="D16" s="50">
        <v>0.2</v>
      </c>
      <c r="E16" s="51">
        <v>0.4</v>
      </c>
      <c r="H16" s="129">
        <f t="shared" si="0"/>
        <v>46849</v>
      </c>
      <c r="I16" s="46">
        <v>46849</v>
      </c>
      <c r="J16" s="44">
        <v>175000</v>
      </c>
      <c r="M16" s="129">
        <f t="shared" si="1"/>
        <v>46387</v>
      </c>
      <c r="N16" s="46">
        <f t="shared" si="2"/>
        <v>46387</v>
      </c>
      <c r="O16" s="50">
        <v>0</v>
      </c>
    </row>
    <row r="17" spans="1:15" ht="13.5" thickBot="1">
      <c r="A17" s="129">
        <f t="shared" si="3"/>
        <v>36987</v>
      </c>
      <c r="B17" s="46">
        <v>36987</v>
      </c>
      <c r="C17" s="44">
        <v>242000</v>
      </c>
      <c r="D17" s="50">
        <v>0.2</v>
      </c>
      <c r="E17" s="51">
        <v>0.4</v>
      </c>
      <c r="H17" s="129">
        <f t="shared" si="0"/>
        <v>47214</v>
      </c>
      <c r="I17" s="46">
        <v>47214</v>
      </c>
      <c r="J17" s="44">
        <v>175000</v>
      </c>
      <c r="M17" s="129">
        <f t="shared" si="1"/>
        <v>46752</v>
      </c>
      <c r="N17" s="46">
        <f t="shared" si="2"/>
        <v>46752</v>
      </c>
      <c r="O17" s="50">
        <v>0</v>
      </c>
    </row>
    <row r="18" spans="1:15" ht="13.5" thickBot="1">
      <c r="A18" s="129">
        <f t="shared" si="3"/>
        <v>37352</v>
      </c>
      <c r="B18" s="46">
        <v>37352</v>
      </c>
      <c r="C18" s="44">
        <v>250000</v>
      </c>
      <c r="D18" s="50">
        <v>0.2</v>
      </c>
      <c r="E18" s="51">
        <v>0.4</v>
      </c>
      <c r="H18" s="129">
        <f t="shared" si="0"/>
        <v>47579</v>
      </c>
      <c r="I18" s="46">
        <v>47579</v>
      </c>
      <c r="J18" s="44">
        <v>175000</v>
      </c>
      <c r="M18" s="129">
        <f t="shared" si="1"/>
        <v>47118</v>
      </c>
      <c r="N18" s="46">
        <f t="shared" si="2"/>
        <v>47118</v>
      </c>
      <c r="O18" s="50">
        <v>0</v>
      </c>
    </row>
    <row r="19" spans="1:15" ht="13.5" thickBot="1">
      <c r="A19" s="129">
        <f t="shared" si="3"/>
        <v>37717</v>
      </c>
      <c r="B19" s="46">
        <v>37717</v>
      </c>
      <c r="C19" s="44">
        <v>255000</v>
      </c>
      <c r="D19" s="50">
        <v>0.2</v>
      </c>
      <c r="E19" s="50">
        <v>0.4</v>
      </c>
      <c r="H19" s="129">
        <f t="shared" si="0"/>
        <v>47944</v>
      </c>
      <c r="I19" s="46">
        <v>47944</v>
      </c>
      <c r="J19" s="44">
        <v>175000</v>
      </c>
      <c r="M19" s="129">
        <f t="shared" si="1"/>
        <v>47483</v>
      </c>
      <c r="N19" s="46">
        <f t="shared" si="2"/>
        <v>47483</v>
      </c>
      <c r="O19" s="50">
        <v>0</v>
      </c>
    </row>
    <row r="20" spans="1:15" ht="13.5" thickBot="1">
      <c r="A20" s="129">
        <f>B20</f>
        <v>38083</v>
      </c>
      <c r="B20" s="46">
        <v>38083</v>
      </c>
      <c r="C20" s="44">
        <v>263000</v>
      </c>
      <c r="D20" s="50">
        <v>0.2</v>
      </c>
      <c r="E20" s="50">
        <v>0.4</v>
      </c>
      <c r="H20" s="129">
        <f t="shared" si="0"/>
        <v>48310</v>
      </c>
      <c r="I20" s="46">
        <v>48310</v>
      </c>
      <c r="J20" s="44">
        <v>175000</v>
      </c>
      <c r="M20" s="129">
        <f t="shared" si="1"/>
        <v>47848</v>
      </c>
      <c r="N20" s="46">
        <f t="shared" si="2"/>
        <v>47848</v>
      </c>
      <c r="O20" s="50">
        <v>0</v>
      </c>
    </row>
    <row r="21" spans="1:15" ht="13.5" thickBot="1">
      <c r="A21" s="129">
        <f>B21</f>
        <v>38448</v>
      </c>
      <c r="B21" s="46">
        <v>38448</v>
      </c>
      <c r="C21" s="44">
        <v>275000</v>
      </c>
      <c r="D21" s="50">
        <v>0.2</v>
      </c>
      <c r="E21" s="50">
        <v>0.4</v>
      </c>
      <c r="H21" s="129">
        <f t="shared" si="0"/>
        <v>48675</v>
      </c>
      <c r="I21" s="46">
        <v>48675</v>
      </c>
      <c r="J21" s="44">
        <v>175000</v>
      </c>
      <c r="M21" s="129">
        <f t="shared" si="1"/>
        <v>48213</v>
      </c>
      <c r="N21" s="46">
        <f t="shared" si="2"/>
        <v>48213</v>
      </c>
      <c r="O21" s="50">
        <v>0</v>
      </c>
    </row>
    <row r="22" spans="1:15" ht="13.5" thickBot="1">
      <c r="A22" s="129">
        <f>B22</f>
        <v>38813</v>
      </c>
      <c r="B22" s="46">
        <v>38813</v>
      </c>
      <c r="C22" s="44">
        <v>285000</v>
      </c>
      <c r="D22" s="50">
        <v>0.2</v>
      </c>
      <c r="E22" s="50">
        <v>0.4</v>
      </c>
      <c r="H22" s="129">
        <f t="shared" si="0"/>
        <v>49040</v>
      </c>
      <c r="I22" s="46">
        <v>49040</v>
      </c>
      <c r="J22" s="44">
        <v>175000</v>
      </c>
      <c r="M22" s="129">
        <f t="shared" si="1"/>
        <v>48579</v>
      </c>
      <c r="N22" s="46">
        <f t="shared" si="2"/>
        <v>48579</v>
      </c>
      <c r="O22" s="50">
        <v>0</v>
      </c>
    </row>
    <row r="23" spans="1:15" ht="13.5" thickBot="1">
      <c r="A23" s="129">
        <f>B23</f>
        <v>39178</v>
      </c>
      <c r="B23" s="46">
        <v>39178</v>
      </c>
      <c r="C23" s="44">
        <v>300000</v>
      </c>
      <c r="D23" s="50">
        <v>0.2</v>
      </c>
      <c r="E23" s="50">
        <v>0.4</v>
      </c>
      <c r="H23" s="129">
        <f t="shared" si="0"/>
        <v>49405</v>
      </c>
      <c r="I23" s="46">
        <v>49405</v>
      </c>
      <c r="J23" s="44">
        <v>175000</v>
      </c>
      <c r="M23" s="129">
        <f t="shared" si="1"/>
        <v>48944</v>
      </c>
      <c r="N23" s="46">
        <f t="shared" si="2"/>
        <v>48944</v>
      </c>
      <c r="O23" s="50">
        <v>0</v>
      </c>
    </row>
    <row r="24" spans="1:15" ht="13.5" thickBot="1">
      <c r="A24" s="129">
        <f>B24</f>
        <v>39544</v>
      </c>
      <c r="B24" s="46">
        <v>39544</v>
      </c>
      <c r="C24" s="44">
        <v>312000</v>
      </c>
      <c r="D24" s="50">
        <v>0.2</v>
      </c>
      <c r="E24" s="50">
        <v>0.4</v>
      </c>
      <c r="H24" s="129">
        <f t="shared" si="0"/>
        <v>49771</v>
      </c>
      <c r="I24" s="46">
        <v>49771</v>
      </c>
      <c r="J24" s="44">
        <v>175000</v>
      </c>
      <c r="M24" s="129">
        <f t="shared" si="1"/>
        <v>49309</v>
      </c>
      <c r="N24" s="46">
        <f t="shared" si="2"/>
        <v>49309</v>
      </c>
      <c r="O24" s="50">
        <v>0</v>
      </c>
    </row>
    <row r="25" spans="1:15" ht="13.5" thickBot="1">
      <c r="A25" s="129">
        <f t="shared" si="3"/>
        <v>39909</v>
      </c>
      <c r="B25" s="46">
        <v>39909</v>
      </c>
      <c r="C25" s="44">
        <v>325000</v>
      </c>
      <c r="D25" s="50">
        <v>0.2</v>
      </c>
      <c r="E25" s="50">
        <v>0.4</v>
      </c>
      <c r="H25" s="129">
        <f t="shared" si="0"/>
        <v>50136</v>
      </c>
      <c r="I25" s="46">
        <v>50136</v>
      </c>
      <c r="J25" s="44">
        <v>175000</v>
      </c>
      <c r="M25" s="129">
        <f t="shared" si="1"/>
        <v>49674</v>
      </c>
      <c r="N25" s="46">
        <f t="shared" si="2"/>
        <v>49674</v>
      </c>
      <c r="O25" s="50">
        <v>0</v>
      </c>
    </row>
    <row r="26" spans="1:3" ht="409.5">
      <c r="A26" s="129"/>
      <c r="B26" s="130"/>
      <c r="C26" s="131"/>
    </row>
    <row r="27" spans="1:16" ht="409.5">
      <c r="A27" s="129"/>
      <c r="B27" s="10">
        <f>Estate!D7</f>
        <v>43220</v>
      </c>
      <c r="C27" s="129">
        <f>B27</f>
        <v>43220</v>
      </c>
      <c r="D27">
        <f>IF($B27=0,0,VLOOKUP(C27,$A$4:$C$25,3))</f>
        <v>325000</v>
      </c>
      <c r="F27" s="139">
        <f>IF($B27=0,0,VLOOKUP($C27,$A$4:$E$25,5))</f>
        <v>0.4</v>
      </c>
      <c r="I27" s="10">
        <f>Estate!D7</f>
        <v>43220</v>
      </c>
      <c r="J27" s="129">
        <f>I27</f>
        <v>43220</v>
      </c>
      <c r="K27">
        <f>IF($I27=0,0,VLOOKUP(J27,$H$4:$J$25,3))</f>
        <v>125000</v>
      </c>
      <c r="N27" s="10">
        <f>QSR!E38</f>
        <v>43281</v>
      </c>
      <c r="O27" s="129">
        <f>N27</f>
        <v>43281</v>
      </c>
      <c r="P27" s="139">
        <f>IF($I27=0,0,VLOOKUP(O27,$M$4:$O$25,3))</f>
        <v>0.4</v>
      </c>
    </row>
    <row r="28" spans="3:6" ht="409.5">
      <c r="C28" s="129">
        <f>B28</f>
        <v>0</v>
      </c>
      <c r="D28">
        <f>IF(B28=0,0,VLOOKUP(C28,$A$4:$C$25,3))</f>
        <v>0</v>
      </c>
      <c r="F28" s="139"/>
    </row>
    <row r="29" spans="1:7" ht="409.5">
      <c r="A29">
        <f aca="true" t="shared" si="4" ref="A29:A44">IF(B28&gt;0,1,2)</f>
        <v>2</v>
      </c>
      <c r="B29" s="10">
        <f>IF('Lifetime Gifts'!B7=0,0,'Lifetime Gifts'!B7)</f>
        <v>0</v>
      </c>
      <c r="C29" s="129">
        <f>B29</f>
        <v>0</v>
      </c>
      <c r="D29">
        <f>IF($B29=0,0,VLOOKUP(C29,$A$4:$C$25,3))</f>
        <v>0</v>
      </c>
      <c r="E29" s="139">
        <f>IF($B29=0,0,VLOOKUP($C29,$A$4:$E$25,4))</f>
        <v>0</v>
      </c>
      <c r="F29" s="139">
        <f>IF($B29=0,0,VLOOKUP($C29,$A$4:$E$25,5))</f>
        <v>0</v>
      </c>
      <c r="G29" s="129"/>
    </row>
    <row r="30" spans="1:6" ht="409.5">
      <c r="A30">
        <f t="shared" si="4"/>
        <v>2</v>
      </c>
      <c r="B30" s="10">
        <f>IF('Lifetime Gifts'!B9=0,0,'Lifetime Gifts'!B9)</f>
        <v>0</v>
      </c>
      <c r="C30" s="129">
        <f aca="true" t="shared" si="5" ref="C30:C45">B30</f>
        <v>0</v>
      </c>
      <c r="D30">
        <f aca="true" t="shared" si="6" ref="D30:D45">IF($B30=0,0,VLOOKUP(C30,$A$4:$C$25,3))</f>
        <v>0</v>
      </c>
      <c r="E30" s="139">
        <f aca="true" t="shared" si="7" ref="E30:E45">IF($B30=0,0,VLOOKUP($C30,$A$4:$E$25,4))</f>
        <v>0</v>
      </c>
      <c r="F30" s="139">
        <f aca="true" t="shared" si="8" ref="F30:F45">IF($B30=0,0,VLOOKUP($C30,$A$4:$E$25,5))</f>
        <v>0</v>
      </c>
    </row>
    <row r="31" spans="1:6" ht="409.5">
      <c r="A31">
        <f t="shared" si="4"/>
        <v>2</v>
      </c>
      <c r="B31" s="10">
        <f>IF('Lifetime Gifts'!B11=0,0,'Lifetime Gifts'!B11)</f>
        <v>0</v>
      </c>
      <c r="C31" s="129">
        <f t="shared" si="5"/>
        <v>0</v>
      </c>
      <c r="D31">
        <f t="shared" si="6"/>
        <v>0</v>
      </c>
      <c r="E31" s="139">
        <f t="shared" si="7"/>
        <v>0</v>
      </c>
      <c r="F31" s="139">
        <f t="shared" si="8"/>
        <v>0</v>
      </c>
    </row>
    <row r="32" spans="1:6" ht="409.5">
      <c r="A32">
        <f t="shared" si="4"/>
        <v>2</v>
      </c>
      <c r="B32" s="10">
        <f>IF('Lifetime Gifts'!B13=0,0,'Lifetime Gifts'!B13)</f>
        <v>0</v>
      </c>
      <c r="C32" s="129">
        <f t="shared" si="5"/>
        <v>0</v>
      </c>
      <c r="D32">
        <f t="shared" si="6"/>
        <v>0</v>
      </c>
      <c r="E32" s="139">
        <f t="shared" si="7"/>
        <v>0</v>
      </c>
      <c r="F32" s="139">
        <f t="shared" si="8"/>
        <v>0</v>
      </c>
    </row>
    <row r="33" spans="1:6" ht="409.5">
      <c r="A33">
        <f t="shared" si="4"/>
        <v>2</v>
      </c>
      <c r="B33" s="10">
        <f>IF('Lifetime Gifts'!B15=0,0,'Lifetime Gifts'!B15)</f>
        <v>0</v>
      </c>
      <c r="C33" s="129">
        <f t="shared" si="5"/>
        <v>0</v>
      </c>
      <c r="D33">
        <f t="shared" si="6"/>
        <v>0</v>
      </c>
      <c r="E33" s="139">
        <f t="shared" si="7"/>
        <v>0</v>
      </c>
      <c r="F33" s="139">
        <f t="shared" si="8"/>
        <v>0</v>
      </c>
    </row>
    <row r="34" spans="1:6" ht="409.5">
      <c r="A34">
        <f t="shared" si="4"/>
        <v>2</v>
      </c>
      <c r="B34" s="10">
        <f>IF('Lifetime Gifts'!B17=0,0,'Lifetime Gifts'!B17)</f>
        <v>0</v>
      </c>
      <c r="C34" s="129">
        <f t="shared" si="5"/>
        <v>0</v>
      </c>
      <c r="D34">
        <f t="shared" si="6"/>
        <v>0</v>
      </c>
      <c r="E34" s="139">
        <f t="shared" si="7"/>
        <v>0</v>
      </c>
      <c r="F34" s="139">
        <f t="shared" si="8"/>
        <v>0</v>
      </c>
    </row>
    <row r="35" spans="1:6" ht="409.5">
      <c r="A35">
        <f t="shared" si="4"/>
        <v>2</v>
      </c>
      <c r="B35" s="10">
        <f>IF('Lifetime Gifts'!B19=0,0,'Lifetime Gifts'!B19)</f>
        <v>0</v>
      </c>
      <c r="C35" s="129">
        <f t="shared" si="5"/>
        <v>0</v>
      </c>
      <c r="D35">
        <f t="shared" si="6"/>
        <v>0</v>
      </c>
      <c r="E35" s="139">
        <f t="shared" si="7"/>
        <v>0</v>
      </c>
      <c r="F35" s="139">
        <f t="shared" si="8"/>
        <v>0</v>
      </c>
    </row>
    <row r="36" spans="1:6" ht="409.5">
      <c r="A36">
        <f t="shared" si="4"/>
        <v>2</v>
      </c>
      <c r="B36" s="10">
        <f>IF('Lifetime Gifts'!B21=0,0,'Lifetime Gifts'!B21)</f>
        <v>0</v>
      </c>
      <c r="C36" s="129">
        <f t="shared" si="5"/>
        <v>0</v>
      </c>
      <c r="D36">
        <f t="shared" si="6"/>
        <v>0</v>
      </c>
      <c r="E36" s="139">
        <f t="shared" si="7"/>
        <v>0</v>
      </c>
      <c r="F36" s="139">
        <f t="shared" si="8"/>
        <v>0</v>
      </c>
    </row>
    <row r="37" spans="1:6" ht="409.5">
      <c r="A37">
        <f t="shared" si="4"/>
        <v>2</v>
      </c>
      <c r="B37" s="10">
        <f>IF('Lifetime Gifts'!B23=0,0,'Lifetime Gifts'!B23)</f>
        <v>0</v>
      </c>
      <c r="C37" s="129">
        <f t="shared" si="5"/>
        <v>0</v>
      </c>
      <c r="D37">
        <f t="shared" si="6"/>
        <v>0</v>
      </c>
      <c r="E37" s="139">
        <f t="shared" si="7"/>
        <v>0</v>
      </c>
      <c r="F37" s="139">
        <f t="shared" si="8"/>
        <v>0</v>
      </c>
    </row>
    <row r="38" spans="1:6" ht="409.5">
      <c r="A38">
        <f t="shared" si="4"/>
        <v>2</v>
      </c>
      <c r="B38" s="10">
        <f>IF('Lifetime Gifts'!B25=0,0,'Lifetime Gifts'!B25)</f>
        <v>0</v>
      </c>
      <c r="C38" s="129">
        <f t="shared" si="5"/>
        <v>0</v>
      </c>
      <c r="D38">
        <f t="shared" si="6"/>
        <v>0</v>
      </c>
      <c r="E38" s="139">
        <f t="shared" si="7"/>
        <v>0</v>
      </c>
      <c r="F38" s="139">
        <f t="shared" si="8"/>
        <v>0</v>
      </c>
    </row>
    <row r="39" spans="1:6" ht="409.5">
      <c r="A39">
        <f t="shared" si="4"/>
        <v>2</v>
      </c>
      <c r="B39" s="10">
        <f>IF('Lifetime Gifts'!B27=0,0,'Lifetime Gifts'!B27)</f>
        <v>0</v>
      </c>
      <c r="C39" s="129">
        <f t="shared" si="5"/>
        <v>0</v>
      </c>
      <c r="D39">
        <f t="shared" si="6"/>
        <v>0</v>
      </c>
      <c r="E39" s="139">
        <f t="shared" si="7"/>
        <v>0</v>
      </c>
      <c r="F39" s="139">
        <f t="shared" si="8"/>
        <v>0</v>
      </c>
    </row>
    <row r="40" spans="1:6" ht="409.5">
      <c r="A40">
        <f t="shared" si="4"/>
        <v>2</v>
      </c>
      <c r="B40" s="10">
        <f>IF('Lifetime Gifts'!B29=0,0,'Lifetime Gifts'!B29)</f>
        <v>0</v>
      </c>
      <c r="C40" s="129">
        <f t="shared" si="5"/>
        <v>0</v>
      </c>
      <c r="D40">
        <f t="shared" si="6"/>
        <v>0</v>
      </c>
      <c r="E40" s="139">
        <f t="shared" si="7"/>
        <v>0</v>
      </c>
      <c r="F40" s="139">
        <f t="shared" si="8"/>
        <v>0</v>
      </c>
    </row>
    <row r="41" spans="1:6" ht="409.5">
      <c r="A41">
        <f t="shared" si="4"/>
        <v>2</v>
      </c>
      <c r="B41" s="10">
        <f>IF('Lifetime Gifts'!B31=0,0,'Lifetime Gifts'!B31)</f>
        <v>0</v>
      </c>
      <c r="C41" s="129">
        <f t="shared" si="5"/>
        <v>0</v>
      </c>
      <c r="D41">
        <f t="shared" si="6"/>
        <v>0</v>
      </c>
      <c r="E41" s="139">
        <f t="shared" si="7"/>
        <v>0</v>
      </c>
      <c r="F41" s="139">
        <f t="shared" si="8"/>
        <v>0</v>
      </c>
    </row>
    <row r="42" spans="1:6" ht="409.5">
      <c r="A42">
        <f t="shared" si="4"/>
        <v>2</v>
      </c>
      <c r="B42" s="10">
        <f>IF('Lifetime Gifts'!B33=0,0,'Lifetime Gifts'!B33)</f>
        <v>0</v>
      </c>
      <c r="C42" s="129">
        <f t="shared" si="5"/>
        <v>0</v>
      </c>
      <c r="D42">
        <f t="shared" si="6"/>
        <v>0</v>
      </c>
      <c r="E42" s="139">
        <f t="shared" si="7"/>
        <v>0</v>
      </c>
      <c r="F42" s="139">
        <f t="shared" si="8"/>
        <v>0</v>
      </c>
    </row>
    <row r="43" spans="1:6" ht="409.5">
      <c r="A43">
        <f t="shared" si="4"/>
        <v>2</v>
      </c>
      <c r="B43" s="10">
        <f>IF('Lifetime Gifts'!B35=0,0,'Lifetime Gifts'!B35)</f>
        <v>0</v>
      </c>
      <c r="C43" s="129">
        <f t="shared" si="5"/>
        <v>0</v>
      </c>
      <c r="D43">
        <f t="shared" si="6"/>
        <v>0</v>
      </c>
      <c r="E43" s="139">
        <f t="shared" si="7"/>
        <v>0</v>
      </c>
      <c r="F43" s="139">
        <f t="shared" si="8"/>
        <v>0</v>
      </c>
    </row>
    <row r="44" spans="1:6" ht="409.5">
      <c r="A44">
        <f t="shared" si="4"/>
        <v>2</v>
      </c>
      <c r="B44" s="10">
        <f>IF('Lifetime Gifts'!B37=0,0,'Lifetime Gifts'!B37)</f>
        <v>0</v>
      </c>
      <c r="C44" s="129">
        <f t="shared" si="5"/>
        <v>0</v>
      </c>
      <c r="D44">
        <f t="shared" si="6"/>
        <v>0</v>
      </c>
      <c r="E44" s="139">
        <f t="shared" si="7"/>
        <v>0</v>
      </c>
      <c r="F44" s="139">
        <f t="shared" si="8"/>
        <v>0</v>
      </c>
    </row>
    <row r="45" spans="1:6" ht="409.5">
      <c r="A45">
        <f>IF(B44&gt;0,1,2)</f>
        <v>2</v>
      </c>
      <c r="B45" s="10">
        <f>IF('Lifetime Gifts'!B39=0,0,'Lifetime Gifts'!B39)</f>
        <v>0</v>
      </c>
      <c r="C45" s="129">
        <f t="shared" si="5"/>
        <v>0</v>
      </c>
      <c r="D45">
        <f t="shared" si="6"/>
        <v>0</v>
      </c>
      <c r="E45" s="139">
        <f t="shared" si="7"/>
        <v>0</v>
      </c>
      <c r="F45" s="139">
        <f t="shared" si="8"/>
        <v>0</v>
      </c>
    </row>
    <row r="48" spans="1:2" ht="409.5">
      <c r="A48">
        <f>(VLOOKUP(2,A29:B45,2))</f>
        <v>0</v>
      </c>
      <c r="B48" s="10">
        <f>A48</f>
        <v>0</v>
      </c>
    </row>
  </sheetData>
  <sheetProtection sheet="1" objects="1" scenarios="1"/>
  <printOptions/>
  <pageMargins left="0.61" right="0.75" top="1" bottom="1" header="0.5" footer="0.5"/>
  <pageSetup fitToHeight="1" fitToWidth="1" horizontalDpi="300" verticalDpi="300" orientation="portrait" r:id="rId1"/>
</worksheet>
</file>

<file path=xl/worksheets/sheet9.xml><?xml version="1.0" encoding="utf-8"?>
<worksheet xmlns="http://schemas.openxmlformats.org/spreadsheetml/2006/main" xmlns:r="http://schemas.openxmlformats.org/officeDocument/2006/relationships">
  <sheetPr codeName="Sheet5">
    <pageSetUpPr fitToPage="1"/>
  </sheetPr>
  <dimension ref="A1:AL45"/>
  <sheetViews>
    <sheetView showGridLines="0" showRowColHeaders="0" showZeros="0" showOutlineSymbols="0" zoomScale="85" zoomScaleNormal="85" zoomScalePageLayoutView="0" workbookViewId="0" topLeftCell="L1">
      <selection activeCell="L1" sqref="L1"/>
    </sheetView>
  </sheetViews>
  <sheetFormatPr defaultColWidth="9.00390625" defaultRowHeight="12.75"/>
  <cols>
    <col min="1" max="1" width="10.375" style="0" hidden="1" customWidth="1"/>
    <col min="2" max="2" width="10.625" style="0" hidden="1" customWidth="1"/>
    <col min="3" max="4" width="9.625" style="0" hidden="1" customWidth="1"/>
    <col min="5" max="5" width="10.125" style="0" hidden="1" customWidth="1"/>
    <col min="6" max="6" width="10.00390625" style="0" hidden="1" customWidth="1"/>
    <col min="7" max="7" width="8.50390625" style="0" hidden="1" customWidth="1"/>
    <col min="8" max="8" width="8.125" style="0" hidden="1" customWidth="1"/>
    <col min="9" max="11" width="8.00390625" style="0" hidden="1" customWidth="1"/>
    <col min="12" max="12" width="4.375" style="0" customWidth="1"/>
    <col min="13" max="13" width="14.50390625" style="0" customWidth="1"/>
    <col min="14" max="14" width="4.125" style="0" customWidth="1"/>
    <col min="15" max="15" width="49.375" style="0" customWidth="1"/>
    <col min="16" max="16" width="4.125" style="0" customWidth="1"/>
    <col min="17" max="17" width="14.125" style="0" customWidth="1"/>
    <col min="18" max="18" width="4.125" style="0" customWidth="1"/>
    <col min="19" max="19" width="12.625" style="0" customWidth="1"/>
    <col min="20" max="20" width="4.125" style="0" customWidth="1"/>
    <col min="21" max="21" width="12.625" style="0" customWidth="1"/>
    <col min="22" max="22" width="4.125" style="0" customWidth="1"/>
    <col min="23" max="23" width="12.625" style="0" customWidth="1"/>
    <col min="24" max="24" width="4.125" style="0" customWidth="1"/>
    <col min="25" max="25" width="12.625" style="0" customWidth="1"/>
    <col min="26" max="26" width="13.625" style="0" customWidth="1"/>
    <col min="27" max="27" width="0.37109375" style="0" hidden="1" customWidth="1"/>
    <col min="28" max="31" width="14.375" style="0" hidden="1" customWidth="1"/>
    <col min="32" max="32" width="0.12890625" style="0" hidden="1" customWidth="1"/>
    <col min="33" max="39" width="14.375" style="0" hidden="1" customWidth="1"/>
    <col min="40" max="40" width="14.375" style="0" customWidth="1"/>
  </cols>
  <sheetData>
    <row r="1" spans="17:30" ht="21" customHeight="1">
      <c r="Q1" s="84" t="s">
        <v>32</v>
      </c>
      <c r="R1" s="84" t="s">
        <v>163</v>
      </c>
      <c r="AD1" s="10">
        <f>Estate!D7</f>
        <v>43220</v>
      </c>
    </row>
    <row r="2" spans="13:15" ht="13.5" customHeight="1">
      <c r="M2" s="181" t="s">
        <v>162</v>
      </c>
      <c r="N2" s="181"/>
      <c r="O2" s="181"/>
    </row>
    <row r="3" spans="21:27" ht="4.5" customHeight="1">
      <c r="U3" s="2"/>
      <c r="W3" s="2"/>
      <c r="Y3" s="2"/>
      <c r="AA3" s="2"/>
    </row>
    <row r="4" spans="13:38" ht="12.75">
      <c r="M4" s="2" t="s">
        <v>38</v>
      </c>
      <c r="S4" s="2" t="s">
        <v>43</v>
      </c>
      <c r="U4" s="2"/>
      <c r="W4" s="2" t="s">
        <v>65</v>
      </c>
      <c r="Y4" s="2" t="s">
        <v>66</v>
      </c>
      <c r="AA4" s="2"/>
      <c r="AI4" s="11">
        <f>AI5+1</f>
        <v>40664</v>
      </c>
      <c r="AJ4" s="11">
        <f>AJ5+1</f>
        <v>38108</v>
      </c>
      <c r="AK4" s="11">
        <f>AK5+1</f>
        <v>-9999</v>
      </c>
      <c r="AL4" s="11" t="e">
        <f>AL5+1</f>
        <v>#NUM!</v>
      </c>
    </row>
    <row r="5" spans="1:38" ht="12.75">
      <c r="A5" s="1" t="s">
        <v>30</v>
      </c>
      <c r="B5" s="1" t="s">
        <v>31</v>
      </c>
      <c r="C5" s="1"/>
      <c r="D5" s="1"/>
      <c r="E5" s="1"/>
      <c r="F5" s="1"/>
      <c r="G5" s="1"/>
      <c r="H5" s="1"/>
      <c r="I5" s="1"/>
      <c r="J5" s="1"/>
      <c r="K5" s="1"/>
      <c r="M5" s="2" t="s">
        <v>39</v>
      </c>
      <c r="O5" s="1" t="s">
        <v>29</v>
      </c>
      <c r="Q5" s="2" t="s">
        <v>40</v>
      </c>
      <c r="S5" s="2" t="s">
        <v>44</v>
      </c>
      <c r="U5" s="2" t="s">
        <v>37</v>
      </c>
      <c r="W5" s="2" t="s">
        <v>194</v>
      </c>
      <c r="Y5" s="2" t="s">
        <v>194</v>
      </c>
      <c r="AA5" s="2" t="s">
        <v>35</v>
      </c>
      <c r="AB5" s="2" t="s">
        <v>34</v>
      </c>
      <c r="AE5" s="9">
        <f>EDATE(AD1,-36)</f>
        <v>42124</v>
      </c>
      <c r="AF5" s="9">
        <f>EDATE(AD1,-48)</f>
        <v>41759</v>
      </c>
      <c r="AG5" s="9">
        <f>EDATE(AD1,-60)</f>
        <v>41394</v>
      </c>
      <c r="AH5" s="9">
        <f>EDATE(AD1,-72)</f>
        <v>41029</v>
      </c>
      <c r="AI5" s="9">
        <f>EDATE(AD1,-84)</f>
        <v>40663</v>
      </c>
      <c r="AJ5" s="9">
        <f>EDATE(AD1,-168)</f>
        <v>38107</v>
      </c>
      <c r="AK5" s="9">
        <f>C43</f>
        <v>-10000</v>
      </c>
      <c r="AL5" s="9" t="e">
        <f>EDATE(AK5,-84)</f>
        <v>#NUM!</v>
      </c>
    </row>
    <row r="6" ht="4.5" customHeight="1" thickBot="1"/>
    <row r="7" spans="1:35" ht="13.5" thickBot="1">
      <c r="A7" s="5">
        <f>'Lifetime Gifts'!B7</f>
        <v>0</v>
      </c>
      <c r="B7" s="5" t="str">
        <f>IF(A7=0,"NA",IF(A7&gt;=$AI$4,"Yes","No"))</f>
        <v>NA</v>
      </c>
      <c r="C7" s="5">
        <f>IF(B7="NA","",IF(B7="no","",IF(B7="yes",IF('Lifetime Gifts'!J7&gt;0,1,IF('Lifetime Gifts'!L7&gt;0,1,"")))))</f>
      </c>
      <c r="D7" s="5">
        <f>A7</f>
        <v>0</v>
      </c>
      <c r="E7" s="5" t="b">
        <f>IF(B7="no",IF($C$41&gt;=1,IF(A7&gt;=$AL$4,"Yes")))</f>
        <v>0</v>
      </c>
      <c r="F7" s="5" t="b">
        <f>IF(B7="yes",IF(B9="No",M7,""))</f>
        <v>0</v>
      </c>
      <c r="G7" s="5">
        <f>IF($A7&lt;=$AI$4,'Lifetime Gifts'!AC7,0)</f>
        <v>0</v>
      </c>
      <c r="H7" s="5"/>
      <c r="I7" s="5">
        <f>IF($A7&lt;=$AI$4,'Lifetime Gifts'!AE7,0)</f>
        <v>0</v>
      </c>
      <c r="J7" s="5">
        <f>IF(B7="no",Q7,"")</f>
      </c>
      <c r="K7" s="5">
        <f>IF(B7="no",U7,"")</f>
      </c>
      <c r="M7" s="20">
        <f>IF(B7="yes",'Lifetime Gifts'!B7,IF(B7="NA","",IF(E7="yes",'Lifetime Gifts'!B7,"")))</f>
      </c>
      <c r="N7" s="21"/>
      <c r="O7" s="22">
        <f>IF(B7="yes",'Lifetime Gifts'!D7,IF(B7="NA","",IF(E7="yes",'Lifetime Gifts'!D7,"")))</f>
      </c>
      <c r="P7" s="23"/>
      <c r="Q7" s="98">
        <f>IF(B7="NA",0,IF(B7="yes",'Lifetime Gifts'!F7-'Lifetime Gifts'!H7+'Lifetime Gifts'!AC7,IF(E7="yes",'Lifetime Gifts'!L7+'Lifetime Gifts'!AC7,0)))</f>
        <v>0</v>
      </c>
      <c r="R7" s="23"/>
      <c r="S7" s="25">
        <f>IF(AD7=0,0,IF(AD7=1,20%,IF(AD7=2,40%,IF(AD7=3,60%,IF(AD7=4,80%,IF(AD7=5,100%))))))</f>
        <v>0</v>
      </c>
      <c r="T7" s="23"/>
      <c r="U7" s="105">
        <f>IF(Q7=0,0,'Death Workings '!G21)</f>
        <v>0</v>
      </c>
      <c r="V7" s="107"/>
      <c r="W7" s="100">
        <f>(Q7-U7)*'Tax Payable'!C10</f>
        <v>0</v>
      </c>
      <c r="X7" s="107"/>
      <c r="Y7" s="100">
        <f>(Q7-U7)*'Tax Payable'!C10*(1-S7)</f>
        <v>0</v>
      </c>
      <c r="Z7" s="23"/>
      <c r="AA7" s="30">
        <f>IF('Lifetime Gifts'!Y7="donor",'Death Chargeable Gifts'!Y7,0)</f>
        <v>0</v>
      </c>
      <c r="AB7" s="30">
        <f>IF('Lifetime Gifts'!Y7="donee",'Death Chargeable Gifts'!Y7,0)</f>
        <v>0</v>
      </c>
      <c r="AC7" s="7">
        <f>AC9-U7</f>
        <v>0</v>
      </c>
      <c r="AD7">
        <f>SUM(AE7:AI7)</f>
        <v>0</v>
      </c>
      <c r="AE7" t="b">
        <f>IF(Q7&gt;0,IF(M7&lt;AE5,1,0))</f>
        <v>0</v>
      </c>
      <c r="AF7" t="b">
        <f>IF(Q7&gt;0,IF(M7&lt;AF5,1,0))</f>
        <v>0</v>
      </c>
      <c r="AG7" t="b">
        <f>IF(Q7&gt;0,IF(M7&lt;AG5,1,0))</f>
        <v>0</v>
      </c>
      <c r="AH7" t="b">
        <f>IF(Q7&gt;0,IF(M7&lt;AH5,1,0))</f>
        <v>0</v>
      </c>
      <c r="AI7" t="b">
        <f>IF(Q7&gt;0,IF(M7&lt;AI5,1,0))</f>
        <v>0</v>
      </c>
    </row>
    <row r="8" spans="1:28" ht="4.5" customHeight="1" thickBot="1">
      <c r="A8" s="5"/>
      <c r="B8" s="5"/>
      <c r="C8" s="5"/>
      <c r="D8" s="5"/>
      <c r="E8" s="5"/>
      <c r="F8" s="5"/>
      <c r="G8" s="5"/>
      <c r="H8" s="5"/>
      <c r="I8" s="5"/>
      <c r="J8" s="5"/>
      <c r="K8" s="5"/>
      <c r="M8" s="23"/>
      <c r="N8" s="21"/>
      <c r="O8" s="23"/>
      <c r="P8" s="23"/>
      <c r="Q8" s="104"/>
      <c r="R8" s="23"/>
      <c r="S8" s="25"/>
      <c r="T8" s="23"/>
      <c r="U8" s="107"/>
      <c r="V8" s="107"/>
      <c r="W8" s="107"/>
      <c r="X8" s="107"/>
      <c r="Y8" s="107"/>
      <c r="Z8" s="23"/>
      <c r="AA8" s="23"/>
      <c r="AB8" s="6"/>
    </row>
    <row r="9" spans="1:35" ht="13.5" thickBot="1">
      <c r="A9" s="5">
        <f>'Lifetime Gifts'!B9</f>
        <v>0</v>
      </c>
      <c r="B9" s="5" t="str">
        <f>IF(A9=0,"NA",IF(A9&gt;=$AI$4,"Yes","No"))</f>
        <v>NA</v>
      </c>
      <c r="C9" s="5">
        <f>IF(B9="NA","",IF(B9="no","",IF(B9="yes",IF('Lifetime Gifts'!J9&gt;0,1,IF('Lifetime Gifts'!L9&gt;0,1,"")))))</f>
      </c>
      <c r="D9" s="5">
        <f>A9</f>
        <v>0</v>
      </c>
      <c r="E9" s="5" t="b">
        <f>IF(B9="no",IF($C$41&gt;=1,IF(A9&gt;=$AL$4,"Yes")))</f>
        <v>0</v>
      </c>
      <c r="F9" s="5" t="b">
        <f>IF(B9="yes",IF(B11="No",M9,""))</f>
        <v>0</v>
      </c>
      <c r="G9" s="5">
        <f>IF($A9&lt;=$AI$4,'Lifetime Gifts'!AC9,0)</f>
        <v>0</v>
      </c>
      <c r="H9" s="5"/>
      <c r="I9" s="5">
        <f>IF($A9&lt;=$AI$4,'Lifetime Gifts'!AE9,0)</f>
        <v>0</v>
      </c>
      <c r="J9" s="5">
        <f>IF(B9="no",Q9,"")</f>
      </c>
      <c r="K9" s="5">
        <f>IF(B9="no",U9,"")</f>
      </c>
      <c r="M9" s="20">
        <f>IF(B9="yes",'Lifetime Gifts'!B9,IF(B9="NA","",IF(E9="yes",'Lifetime Gifts'!B9,"")))</f>
      </c>
      <c r="N9" s="21"/>
      <c r="O9" s="22">
        <f>IF(B9="yes",'Lifetime Gifts'!D9,IF(B9="NA","",IF(E9="yes",'Lifetime Gifts'!D9,"")))</f>
      </c>
      <c r="P9" s="23"/>
      <c r="Q9" s="98">
        <f>IF(B9="NA",0,IF(B9="yes",'Lifetime Gifts'!F9-'Lifetime Gifts'!H9+'Lifetime Gifts'!AC9,IF(E9="yes",'Lifetime Gifts'!L9+'Lifetime Gifts'!AC9,0)))</f>
        <v>0</v>
      </c>
      <c r="R9" s="23"/>
      <c r="S9" s="25">
        <f>IF(AD9=0,0,IF(AD9=1,20%,IF(AD9=2,40%,IF(AD9=3,60%,IF(AD9=4,80%,IF(AD9=5,100%))))))</f>
        <v>0</v>
      </c>
      <c r="T9" s="23"/>
      <c r="U9" s="105">
        <f>IF(Q9=0,0,'Death Workings '!G20)</f>
        <v>0</v>
      </c>
      <c r="V9" s="107"/>
      <c r="W9" s="100">
        <f>(Q9-U9)*'Tax Payable'!C10</f>
        <v>0</v>
      </c>
      <c r="X9" s="107"/>
      <c r="Y9" s="100">
        <f>(Q9-U9)*'Tax Payable'!C10*(1-S9)</f>
        <v>0</v>
      </c>
      <c r="Z9" s="23"/>
      <c r="AA9" s="30">
        <f>IF('Lifetime Gifts'!Y9="donor",'Death Chargeable Gifts'!Y9,0)</f>
        <v>0</v>
      </c>
      <c r="AB9" s="30">
        <f>IF('Lifetime Gifts'!Y9="donee",'Death Chargeable Gifts'!Y9,0)</f>
        <v>0</v>
      </c>
      <c r="AC9" s="7">
        <f>AC11-U9</f>
        <v>0</v>
      </c>
      <c r="AD9">
        <f>SUM(AE9:AI9)</f>
        <v>0</v>
      </c>
      <c r="AE9" t="b">
        <f>IF(Q9&gt;0,IF(M9&lt;AE5,1,0))</f>
        <v>0</v>
      </c>
      <c r="AF9" t="b">
        <f>IF(Q9&gt;0,IF(M9&lt;AF5,1,0))</f>
        <v>0</v>
      </c>
      <c r="AG9" t="b">
        <f>IF(Q9&gt;0,IF(M9&lt;AG5,1,0))</f>
        <v>0</v>
      </c>
      <c r="AH9" t="b">
        <f>IF(Q9&gt;0,IF(M9&lt;AH5,1,0))</f>
        <v>0</v>
      </c>
      <c r="AI9" t="b">
        <f>IF(Q9&gt;0,IF(M9&lt;AI5,1,0))</f>
        <v>0</v>
      </c>
    </row>
    <row r="10" spans="1:28" ht="4.5" customHeight="1" thickBot="1">
      <c r="A10" s="5"/>
      <c r="B10" s="5"/>
      <c r="C10" s="5"/>
      <c r="D10" s="5"/>
      <c r="E10" s="5"/>
      <c r="F10" s="5"/>
      <c r="G10" s="5"/>
      <c r="H10" s="5"/>
      <c r="I10" s="5"/>
      <c r="J10" s="5"/>
      <c r="K10" s="5"/>
      <c r="M10" s="23"/>
      <c r="N10" s="21"/>
      <c r="O10" s="23"/>
      <c r="P10" s="23"/>
      <c r="Q10" s="104"/>
      <c r="R10" s="23"/>
      <c r="S10" s="25"/>
      <c r="T10" s="23"/>
      <c r="U10" s="107"/>
      <c r="V10" s="107"/>
      <c r="W10" s="107"/>
      <c r="X10" s="107"/>
      <c r="Y10" s="107"/>
      <c r="Z10" s="23"/>
      <c r="AA10" s="23"/>
      <c r="AB10" s="6"/>
    </row>
    <row r="11" spans="1:35" ht="13.5" thickBot="1">
      <c r="A11" s="5">
        <f>'Lifetime Gifts'!B11</f>
        <v>0</v>
      </c>
      <c r="B11" s="5" t="str">
        <f>IF(A11=0,"NA",IF(A11&gt;=$AI$4,"Yes","No"))</f>
        <v>NA</v>
      </c>
      <c r="C11" s="5">
        <f>IF(B11="NA","",IF(B11="no","",IF(B11="yes",IF('Lifetime Gifts'!J11&gt;0,1,IF('Lifetime Gifts'!L11&gt;0,1,"")))))</f>
      </c>
      <c r="D11" s="5">
        <f>A11</f>
        <v>0</v>
      </c>
      <c r="E11" s="5" t="b">
        <f>IF(B11="no",IF($C$41&gt;=1,IF(A11&gt;=$AL$4,"Yes")))</f>
        <v>0</v>
      </c>
      <c r="F11" s="5" t="b">
        <f>IF(B11="yes",IF(B13="No",M11,""))</f>
        <v>0</v>
      </c>
      <c r="G11" s="5">
        <f>IF($A11&lt;=$AI$4,'Lifetime Gifts'!AC11,0)</f>
        <v>0</v>
      </c>
      <c r="H11" s="5"/>
      <c r="I11" s="5">
        <f>IF($A11&lt;=$AI$4,'Lifetime Gifts'!AE11,0)</f>
        <v>0</v>
      </c>
      <c r="J11" s="5">
        <f>IF(B11="no",Q11,"")</f>
      </c>
      <c r="K11" s="5">
        <f>IF(B11="no",U11,"")</f>
      </c>
      <c r="M11" s="20">
        <f>IF(B11="yes",'Lifetime Gifts'!B11,IF(B11="NA","",IF(E11="yes",'Lifetime Gifts'!B11,"")))</f>
      </c>
      <c r="N11" s="21"/>
      <c r="O11" s="22">
        <f>IF(B11="yes",'Lifetime Gifts'!D11,IF(B11="NA","",IF(E11="yes",'Lifetime Gifts'!D11,"")))</f>
      </c>
      <c r="P11" s="23"/>
      <c r="Q11" s="98">
        <f>IF(B11="NA",0,IF(B11="yes",'Lifetime Gifts'!F11-'Lifetime Gifts'!H11+'Lifetime Gifts'!AC11,IF(E11="yes",'Lifetime Gifts'!L11+'Lifetime Gifts'!AC11,0)))</f>
        <v>0</v>
      </c>
      <c r="R11" s="23"/>
      <c r="S11" s="25">
        <f>IF(AD11=0,0,IF(AD11=1,20%,IF(AD11=2,40%,IF(AD11=3,60%,IF(AD11=4,80%,IF(AD11=5,100%))))))</f>
        <v>0</v>
      </c>
      <c r="T11" s="23"/>
      <c r="U11" s="105">
        <f>IF(Q11=0,0,'Death Workings '!G19)</f>
        <v>0</v>
      </c>
      <c r="V11" s="107"/>
      <c r="W11" s="100">
        <f>(Q11-U11)*'Tax Payable'!C10</f>
        <v>0</v>
      </c>
      <c r="X11" s="107"/>
      <c r="Y11" s="100">
        <f>(Q11-U11)*'Tax Payable'!C10*(1-S11)</f>
        <v>0</v>
      </c>
      <c r="Z11" s="23"/>
      <c r="AA11" s="30">
        <f>IF('Lifetime Gifts'!Y11="donor",'Death Chargeable Gifts'!Y11,0)</f>
        <v>0</v>
      </c>
      <c r="AB11" s="30">
        <f>IF('Lifetime Gifts'!Y11="donee",'Death Chargeable Gifts'!Y11,0)</f>
        <v>0</v>
      </c>
      <c r="AC11" s="7">
        <f>AC13-U11</f>
        <v>0</v>
      </c>
      <c r="AD11">
        <f>SUM(AE11:AI11)</f>
        <v>0</v>
      </c>
      <c r="AE11" t="b">
        <f>IF(Q11&gt;0,IF(M11&lt;AE5,1,0))</f>
        <v>0</v>
      </c>
      <c r="AF11" t="b">
        <f>IF(Q11&gt;0,IF(M11&lt;AF5,1,0))</f>
        <v>0</v>
      </c>
      <c r="AG11" t="b">
        <f>IF(Q11&gt;0,IF(M11&lt;AG5,1,0))</f>
        <v>0</v>
      </c>
      <c r="AH11" t="b">
        <f>IF(Q11&gt;0,IF(M11&lt;AH5,1,0))</f>
        <v>0</v>
      </c>
      <c r="AI11" t="b">
        <f>IF(Q11&gt;0,IF(M11&lt;AI5,1,0))</f>
        <v>0</v>
      </c>
    </row>
    <row r="12" spans="1:28" ht="4.5" customHeight="1" thickBot="1">
      <c r="A12" s="5"/>
      <c r="B12" s="5"/>
      <c r="C12" s="5"/>
      <c r="D12" s="5"/>
      <c r="E12" s="5"/>
      <c r="F12" s="5"/>
      <c r="G12" s="5"/>
      <c r="H12" s="5"/>
      <c r="I12" s="5"/>
      <c r="J12" s="5"/>
      <c r="K12" s="5"/>
      <c r="M12" s="23"/>
      <c r="N12" s="21"/>
      <c r="O12" s="23"/>
      <c r="P12" s="23"/>
      <c r="Q12" s="104"/>
      <c r="R12" s="23"/>
      <c r="S12" s="25"/>
      <c r="T12" s="23"/>
      <c r="U12" s="107"/>
      <c r="V12" s="107"/>
      <c r="W12" s="107"/>
      <c r="X12" s="107"/>
      <c r="Y12" s="107"/>
      <c r="Z12" s="23"/>
      <c r="AA12" s="23"/>
      <c r="AB12" s="6"/>
    </row>
    <row r="13" spans="1:35" ht="13.5" thickBot="1">
      <c r="A13" s="5">
        <f>'Lifetime Gifts'!B13</f>
        <v>0</v>
      </c>
      <c r="B13" s="5" t="str">
        <f>IF(A13=0,"NA",IF(A13&gt;=$AI$4,"Yes","No"))</f>
        <v>NA</v>
      </c>
      <c r="C13" s="5">
        <f>IF(B13="NA","",IF(B13="no","",IF(B13="yes",IF('Lifetime Gifts'!J13&gt;0,1,IF('Lifetime Gifts'!L13&gt;0,1,"")))))</f>
      </c>
      <c r="D13" s="5">
        <f>A13</f>
        <v>0</v>
      </c>
      <c r="E13" s="5" t="b">
        <f>IF(B13="no",IF($C$41&gt;=1,IF(A13&gt;=$AL$4,"Yes")))</f>
        <v>0</v>
      </c>
      <c r="F13" s="5" t="b">
        <f>IF(B13="yes",IF(B15="No",M13,""))</f>
        <v>0</v>
      </c>
      <c r="G13" s="5">
        <f>IF($A13&lt;=$AI$4,'Lifetime Gifts'!AC13,0)</f>
        <v>0</v>
      </c>
      <c r="H13" s="5"/>
      <c r="I13" s="5">
        <f>IF($A13&lt;=$AI$4,'Lifetime Gifts'!AE13,0)</f>
        <v>0</v>
      </c>
      <c r="J13" s="5">
        <f>IF(B13="no",Q13,"")</f>
      </c>
      <c r="K13" s="5">
        <f>IF(B13="no",U13,"")</f>
      </c>
      <c r="M13" s="20">
        <f>IF(B13="yes",'Lifetime Gifts'!B13,IF(B13="NA","",IF(E13="yes",'Lifetime Gifts'!B13,"")))</f>
      </c>
      <c r="N13" s="21"/>
      <c r="O13" s="22">
        <f>IF(B13="yes",'Lifetime Gifts'!D13,IF(B13="NA","",IF(E13="yes",'Lifetime Gifts'!D13,"")))</f>
      </c>
      <c r="P13" s="23"/>
      <c r="Q13" s="98">
        <f>IF(B13="NA",0,IF(B13="yes",'Lifetime Gifts'!F13-'Lifetime Gifts'!H13+'Lifetime Gifts'!AC13,IF(E13="yes",'Lifetime Gifts'!L13+'Lifetime Gifts'!AC13,0)))</f>
        <v>0</v>
      </c>
      <c r="R13" s="23"/>
      <c r="S13" s="25">
        <f>IF(AD13=0,0,IF(AD13=1,20%,IF(AD13=2,40%,IF(AD13=3,60%,IF(AD13=4,80%,IF(AD13=5,100%))))))</f>
        <v>0</v>
      </c>
      <c r="T13" s="23"/>
      <c r="U13" s="105">
        <f>IF(Q13=0,0,'Death Workings '!G18)</f>
        <v>0</v>
      </c>
      <c r="V13" s="107"/>
      <c r="W13" s="100">
        <f>(Q13-U13)*'Tax Payable'!C10</f>
        <v>0</v>
      </c>
      <c r="X13" s="107"/>
      <c r="Y13" s="100">
        <f>(Q13-U13)*'Tax Payable'!C10*(1-S13)</f>
        <v>0</v>
      </c>
      <c r="Z13" s="23"/>
      <c r="AA13" s="30">
        <f>IF('Lifetime Gifts'!Y13="donor",'Death Chargeable Gifts'!Y13,0)</f>
        <v>0</v>
      </c>
      <c r="AB13" s="30">
        <f>IF('Lifetime Gifts'!Y13="donee",'Death Chargeable Gifts'!Y13,0)</f>
        <v>0</v>
      </c>
      <c r="AC13" s="7">
        <f>AC15-U13</f>
        <v>0</v>
      </c>
      <c r="AD13">
        <f>SUM(AE13:AI13)</f>
        <v>0</v>
      </c>
      <c r="AE13" t="b">
        <f>IF(Q13&gt;0,IF(M13&lt;AE5,1,0))</f>
        <v>0</v>
      </c>
      <c r="AF13" t="b">
        <f>IF(Q13&gt;0,IF(M13&lt;AF5,1,0))</f>
        <v>0</v>
      </c>
      <c r="AG13" t="b">
        <f>IF(Q13&gt;0,IF(M13&lt;AG5,1,0))</f>
        <v>0</v>
      </c>
      <c r="AH13" t="b">
        <f>IF(Q13&gt;0,IF(M13&lt;AH5,1,0))</f>
        <v>0</v>
      </c>
      <c r="AI13" t="b">
        <f>IF(Q13&gt;0,IF(M13&lt;AI5,1,0))</f>
        <v>0</v>
      </c>
    </row>
    <row r="14" spans="1:28" ht="4.5" customHeight="1" thickBot="1">
      <c r="A14" s="5"/>
      <c r="B14" s="5"/>
      <c r="C14" s="5"/>
      <c r="D14" s="5"/>
      <c r="E14" s="5"/>
      <c r="F14" s="5"/>
      <c r="G14" s="5"/>
      <c r="H14" s="5"/>
      <c r="I14" s="5"/>
      <c r="J14" s="5"/>
      <c r="K14" s="5"/>
      <c r="M14" s="23"/>
      <c r="N14" s="21"/>
      <c r="O14" s="23"/>
      <c r="P14" s="23"/>
      <c r="Q14" s="104"/>
      <c r="R14" s="23"/>
      <c r="S14" s="25"/>
      <c r="T14" s="23"/>
      <c r="U14" s="107"/>
      <c r="V14" s="107"/>
      <c r="W14" s="107"/>
      <c r="X14" s="107"/>
      <c r="Y14" s="107"/>
      <c r="Z14" s="23"/>
      <c r="AA14" s="23"/>
      <c r="AB14" s="6"/>
    </row>
    <row r="15" spans="1:35" ht="13.5" thickBot="1">
      <c r="A15" s="5">
        <f>'Lifetime Gifts'!B15</f>
        <v>0</v>
      </c>
      <c r="B15" s="5" t="str">
        <f>IF(A15=0,"NA",IF(A15&gt;=$AI$4,"Yes","No"))</f>
        <v>NA</v>
      </c>
      <c r="C15" s="5">
        <f>IF(B15="NA","",IF(B15="no","",IF(B15="yes",IF('Lifetime Gifts'!J15&gt;0,1,IF('Lifetime Gifts'!L15&gt;0,1,"")))))</f>
      </c>
      <c r="D15" s="5">
        <f>A15</f>
        <v>0</v>
      </c>
      <c r="E15" s="5" t="b">
        <f>IF(B15="no",IF($C$41&gt;=1,IF(A15&gt;=$AL$4,"Yes")))</f>
        <v>0</v>
      </c>
      <c r="F15" s="5" t="b">
        <f>IF(B15="yes",IF(B17="No",M15,""))</f>
        <v>0</v>
      </c>
      <c r="G15" s="5">
        <f>IF($A15&lt;=$AI$4,'Lifetime Gifts'!AC15,0)</f>
        <v>0</v>
      </c>
      <c r="H15" s="5"/>
      <c r="I15" s="5">
        <f>IF($A15&lt;=$AI$4,'Lifetime Gifts'!AE15,0)</f>
        <v>0</v>
      </c>
      <c r="J15" s="5">
        <f>IF(B15="no",Q15,"")</f>
      </c>
      <c r="K15" s="5">
        <f>IF(B15="no",U15,"")</f>
      </c>
      <c r="M15" s="20">
        <f>IF(B15="yes",'Lifetime Gifts'!B15,IF(B15="NA","",IF(E15="yes",'Lifetime Gifts'!B15,"")))</f>
      </c>
      <c r="N15" s="21"/>
      <c r="O15" s="22">
        <f>IF(B15="yes",'Lifetime Gifts'!D15,IF(B15="NA","",IF(E15="yes",'Lifetime Gifts'!D15,"")))</f>
      </c>
      <c r="P15" s="23"/>
      <c r="Q15" s="98">
        <f>IF(B15="NA",0,IF(B15="yes",'Lifetime Gifts'!F15-'Lifetime Gifts'!H15+'Lifetime Gifts'!AC15,IF(E15="yes",'Lifetime Gifts'!L15+'Lifetime Gifts'!AC15,0)))</f>
        <v>0</v>
      </c>
      <c r="R15" s="23"/>
      <c r="S15" s="25">
        <f>IF(AD15=0,0,IF(AD15=1,20%,IF(AD15=2,40%,IF(AD15=3,60%,IF(AD15=4,80%,IF(AD15=5,100%))))))</f>
        <v>0</v>
      </c>
      <c r="T15" s="23"/>
      <c r="U15" s="105">
        <f>IF(Q15=0,0,'Death Workings '!G17)</f>
        <v>0</v>
      </c>
      <c r="V15" s="107"/>
      <c r="W15" s="100">
        <f>(Q15-U15)*'Tax Payable'!C10</f>
        <v>0</v>
      </c>
      <c r="X15" s="107"/>
      <c r="Y15" s="100">
        <f>(Q15-U15)*'Tax Payable'!C10*(1-S15)</f>
        <v>0</v>
      </c>
      <c r="Z15" s="23"/>
      <c r="AA15" s="30">
        <f>IF('Lifetime Gifts'!Y15="donor",'Death Chargeable Gifts'!Y15,0)</f>
        <v>0</v>
      </c>
      <c r="AB15" s="30">
        <f>IF('Lifetime Gifts'!Y15="donee",'Death Chargeable Gifts'!Y15,0)</f>
        <v>0</v>
      </c>
      <c r="AC15" s="7">
        <f>AC17-U15</f>
        <v>0</v>
      </c>
      <c r="AD15">
        <f>SUM(AE15:AI15)</f>
        <v>0</v>
      </c>
      <c r="AE15" t="b">
        <f>IF(Q15&gt;0,IF(M15&lt;AE5,1,0))</f>
        <v>0</v>
      </c>
      <c r="AF15" t="b">
        <f>IF(Q15&gt;0,IF(M15&lt;AF5,1,0))</f>
        <v>0</v>
      </c>
      <c r="AG15" t="b">
        <f>IF(Q15&gt;0,IF(M15&lt;AG5,1,0))</f>
        <v>0</v>
      </c>
      <c r="AH15" t="b">
        <f>IF(Q15&gt;0,IF(M15&lt;AH5,1,0))</f>
        <v>0</v>
      </c>
      <c r="AI15" t="b">
        <f>IF(Q15&gt;0,IF(M15&lt;AI5,1,0))</f>
        <v>0</v>
      </c>
    </row>
    <row r="16" spans="1:28" ht="4.5" customHeight="1" thickBot="1">
      <c r="A16" s="5"/>
      <c r="B16" s="5"/>
      <c r="C16" s="5"/>
      <c r="D16" s="5"/>
      <c r="E16" s="5"/>
      <c r="F16" s="5"/>
      <c r="G16" s="5"/>
      <c r="H16" s="5"/>
      <c r="I16" s="5"/>
      <c r="J16" s="5"/>
      <c r="K16" s="5"/>
      <c r="M16" s="23"/>
      <c r="N16" s="21"/>
      <c r="O16" s="23"/>
      <c r="P16" s="23"/>
      <c r="Q16" s="104"/>
      <c r="R16" s="23"/>
      <c r="S16" s="25"/>
      <c r="T16" s="23"/>
      <c r="U16" s="107"/>
      <c r="V16" s="107"/>
      <c r="W16" s="107"/>
      <c r="X16" s="107"/>
      <c r="Y16" s="107"/>
      <c r="Z16" s="23"/>
      <c r="AA16" s="23"/>
      <c r="AB16" s="6"/>
    </row>
    <row r="17" spans="1:35" ht="13.5" thickBot="1">
      <c r="A17" s="5">
        <f>'Lifetime Gifts'!B17</f>
        <v>0</v>
      </c>
      <c r="B17" s="5" t="str">
        <f>IF(A17=0,"NA",IF(A17&gt;=$AI$4,"Yes","No"))</f>
        <v>NA</v>
      </c>
      <c r="C17" s="5">
        <f>IF(B17="NA","",IF(B17="no","",IF(B17="yes",IF('Lifetime Gifts'!J17&gt;0,1,IF('Lifetime Gifts'!L17&gt;0,1,"")))))</f>
      </c>
      <c r="D17" s="5">
        <f>A17</f>
        <v>0</v>
      </c>
      <c r="E17" s="5" t="b">
        <f>IF(B17="no",IF($C$41&gt;=1,IF(A17&gt;=$AL$4,"Yes")))</f>
        <v>0</v>
      </c>
      <c r="F17" s="5" t="b">
        <f>IF(B17="yes",IF(B19="No",M17,""))</f>
        <v>0</v>
      </c>
      <c r="G17" s="5">
        <f>IF($A17&lt;=$AI$4,'Lifetime Gifts'!AC17,0)</f>
        <v>0</v>
      </c>
      <c r="H17" s="5"/>
      <c r="I17" s="5">
        <f>IF($A17&lt;=$AI$4,'Lifetime Gifts'!AE17,0)</f>
        <v>0</v>
      </c>
      <c r="J17" s="5">
        <f>IF(B17="no",Q17,"")</f>
      </c>
      <c r="K17" s="5">
        <f>IF(B17="no",U17,"")</f>
      </c>
      <c r="M17" s="20">
        <f>IF(B17="yes",'Lifetime Gifts'!B17,IF(B17="NA","",IF(E17="yes",'Lifetime Gifts'!B17,"")))</f>
      </c>
      <c r="N17" s="21"/>
      <c r="O17" s="22">
        <f>IF(B17="yes",'Lifetime Gifts'!D17,IF(B17="NA","",IF(E17="yes",'Lifetime Gifts'!D17,"")))</f>
      </c>
      <c r="P17" s="23"/>
      <c r="Q17" s="98">
        <f>IF(B17="NA",0,IF(B17="yes",'Lifetime Gifts'!F17-'Lifetime Gifts'!H17+'Lifetime Gifts'!AC17,IF(E17="yes",'Lifetime Gifts'!L17+'Lifetime Gifts'!AC17,0)))</f>
        <v>0</v>
      </c>
      <c r="R17" s="23"/>
      <c r="S17" s="25">
        <f>IF(AD17=0,0,IF(AD17=1,20%,IF(AD17=2,40%,IF(AD17=3,60%,IF(AD17=4,80%,IF(AD17=5,100%))))))</f>
        <v>0</v>
      </c>
      <c r="T17" s="23"/>
      <c r="U17" s="105">
        <f>IF(Q17=0,0,'Death Workings '!G16)</f>
        <v>0</v>
      </c>
      <c r="V17" s="107"/>
      <c r="W17" s="100">
        <f>(Q17-U17)*'Tax Payable'!C10</f>
        <v>0</v>
      </c>
      <c r="X17" s="107"/>
      <c r="Y17" s="100">
        <f>(Q17-U17)*'Tax Payable'!C10*(1-S17)</f>
        <v>0</v>
      </c>
      <c r="Z17" s="23"/>
      <c r="AA17" s="30">
        <f>IF('Lifetime Gifts'!Y17="donor",'Death Chargeable Gifts'!Y17,0)</f>
        <v>0</v>
      </c>
      <c r="AB17" s="30">
        <f>IF('Lifetime Gifts'!Y17="donee",'Death Chargeable Gifts'!Y17,0)</f>
        <v>0</v>
      </c>
      <c r="AC17" s="7">
        <f>AC19-U17</f>
        <v>0</v>
      </c>
      <c r="AD17">
        <f>SUM(AE17:AI17)</f>
        <v>0</v>
      </c>
      <c r="AE17" t="b">
        <f>IF(Q17&gt;0,IF(M17&lt;AE5,1,0))</f>
        <v>0</v>
      </c>
      <c r="AF17" t="b">
        <f>IF(Q17&gt;0,IF(M17&lt;AF5,1,0))</f>
        <v>0</v>
      </c>
      <c r="AG17" t="b">
        <f>IF(Q17&gt;0,IF(M17&lt;AG5,1,0))</f>
        <v>0</v>
      </c>
      <c r="AH17" t="b">
        <f>IF(Q17&gt;0,IF(M17&lt;AH5,1,0))</f>
        <v>0</v>
      </c>
      <c r="AI17" t="b">
        <f>IF(Q17&gt;0,IF(M17&lt;AI5,1,0))</f>
        <v>0</v>
      </c>
    </row>
    <row r="18" spans="1:28" ht="4.5" customHeight="1" thickBot="1">
      <c r="A18" s="5"/>
      <c r="B18" s="5"/>
      <c r="C18" s="5"/>
      <c r="D18" s="5"/>
      <c r="E18" s="5"/>
      <c r="F18" s="5"/>
      <c r="G18" s="5"/>
      <c r="H18" s="5"/>
      <c r="I18" s="5"/>
      <c r="J18" s="5"/>
      <c r="K18" s="5"/>
      <c r="M18" s="23"/>
      <c r="N18" s="21"/>
      <c r="O18" s="23"/>
      <c r="P18" s="23"/>
      <c r="Q18" s="104"/>
      <c r="R18" s="23"/>
      <c r="S18" s="25"/>
      <c r="T18" s="23"/>
      <c r="U18" s="107"/>
      <c r="V18" s="107"/>
      <c r="W18" s="107"/>
      <c r="X18" s="107"/>
      <c r="Y18" s="107"/>
      <c r="Z18" s="23"/>
      <c r="AA18" s="23"/>
      <c r="AB18" s="6"/>
    </row>
    <row r="19" spans="1:35" ht="13.5" thickBot="1">
      <c r="A19" s="5">
        <f>'Lifetime Gifts'!B19</f>
        <v>0</v>
      </c>
      <c r="B19" s="5" t="str">
        <f>IF(A19=0,"NA",IF(A19&gt;=$AI$4,"Yes","No"))</f>
        <v>NA</v>
      </c>
      <c r="C19" s="5">
        <f>IF(B19="NA","",IF(B19="no","",IF(B19="yes",IF('Lifetime Gifts'!J19&gt;0,1,IF('Lifetime Gifts'!L19&gt;0,1,"")))))</f>
      </c>
      <c r="D19" s="5">
        <f>A19</f>
        <v>0</v>
      </c>
      <c r="E19" s="5" t="b">
        <f>IF(B19="no",IF($C$41&gt;=1,IF(A19&gt;=$AL$4,"Yes")))</f>
        <v>0</v>
      </c>
      <c r="F19" s="5" t="b">
        <f>IF(B19="yes",IF(B21="No",M19,""))</f>
        <v>0</v>
      </c>
      <c r="G19" s="5">
        <f>IF($A19&lt;=$AI$4,'Lifetime Gifts'!AC19,0)</f>
        <v>0</v>
      </c>
      <c r="H19" s="5"/>
      <c r="I19" s="5">
        <f>IF($A19&lt;=$AI$4,'Lifetime Gifts'!AE19,0)</f>
        <v>0</v>
      </c>
      <c r="J19" s="5">
        <f>IF(B19="no",Q19,"")</f>
      </c>
      <c r="K19" s="5">
        <f>IF(B19="no",U19,"")</f>
      </c>
      <c r="M19" s="20">
        <f>IF(B19="yes",'Lifetime Gifts'!B19,IF(B19="NA","",IF(E19="yes",'Lifetime Gifts'!B19,"")))</f>
      </c>
      <c r="N19" s="21"/>
      <c r="O19" s="22">
        <f>IF(B19="yes",'Lifetime Gifts'!D19,IF(B19="NA","",IF(E19="yes",'Lifetime Gifts'!D19,"")))</f>
      </c>
      <c r="P19" s="23"/>
      <c r="Q19" s="98">
        <f>IF(B19="NA",0,IF(B19="yes",'Lifetime Gifts'!F19-'Lifetime Gifts'!H19+'Lifetime Gifts'!AC19,IF(E19="yes",'Lifetime Gifts'!L19+'Lifetime Gifts'!AC19,0)))</f>
        <v>0</v>
      </c>
      <c r="R19" s="23"/>
      <c r="S19" s="25">
        <f>IF(AD19=0,0,IF(AD19=1,20%,IF(AD19=2,40%,IF(AD19=3,60%,IF(AD19=4,80%,IF(AD19=5,100%))))))</f>
        <v>0</v>
      </c>
      <c r="T19" s="23"/>
      <c r="U19" s="105">
        <f>IF(Q19=0,0,'Death Workings '!G15)</f>
        <v>0</v>
      </c>
      <c r="V19" s="107"/>
      <c r="W19" s="100">
        <f>(Q19-U19)*'Tax Payable'!C10</f>
        <v>0</v>
      </c>
      <c r="X19" s="107"/>
      <c r="Y19" s="100">
        <f>(Q19-U19)*'Tax Payable'!C10*(1-S19)</f>
        <v>0</v>
      </c>
      <c r="Z19" s="23"/>
      <c r="AA19" s="30">
        <f>IF('Lifetime Gifts'!Y19="donor",'Death Chargeable Gifts'!Y19,0)</f>
        <v>0</v>
      </c>
      <c r="AB19" s="30">
        <f>IF('Lifetime Gifts'!Y19="donee",'Death Chargeable Gifts'!Y19,0)</f>
        <v>0</v>
      </c>
      <c r="AC19" s="7">
        <f>AC21-U19</f>
        <v>0</v>
      </c>
      <c r="AD19">
        <f>SUM(AE19:AI19)</f>
        <v>0</v>
      </c>
      <c r="AE19" t="b">
        <f>IF(Q19&gt;0,IF(M19&lt;AE5,1,0))</f>
        <v>0</v>
      </c>
      <c r="AF19" t="b">
        <f>IF(Q19&gt;0,IF(M19&lt;AF5,1,0))</f>
        <v>0</v>
      </c>
      <c r="AG19" t="b">
        <f>IF(Q19&gt;0,IF(M19&lt;AG5,1,0))</f>
        <v>0</v>
      </c>
      <c r="AH19" t="b">
        <f>IF(Q19&gt;0,IF(M19&lt;AH5,1,0))</f>
        <v>0</v>
      </c>
      <c r="AI19" t="b">
        <f>IF(Q19&gt;0,IF(M19&lt;AI5,1,0))</f>
        <v>0</v>
      </c>
    </row>
    <row r="20" spans="1:28" ht="4.5" customHeight="1" thickBot="1">
      <c r="A20" s="5"/>
      <c r="B20" s="5"/>
      <c r="C20" s="5"/>
      <c r="D20" s="5"/>
      <c r="E20" s="5"/>
      <c r="F20" s="5"/>
      <c r="G20" s="5"/>
      <c r="H20" s="5"/>
      <c r="I20" s="5"/>
      <c r="J20" s="5"/>
      <c r="K20" s="5"/>
      <c r="M20" s="23"/>
      <c r="N20" s="21"/>
      <c r="O20" s="23"/>
      <c r="P20" s="23"/>
      <c r="Q20" s="104"/>
      <c r="R20" s="23"/>
      <c r="S20" s="25"/>
      <c r="T20" s="23"/>
      <c r="U20" s="107"/>
      <c r="V20" s="107"/>
      <c r="W20" s="107"/>
      <c r="X20" s="107"/>
      <c r="Y20" s="107"/>
      <c r="Z20" s="23"/>
      <c r="AA20" s="23"/>
      <c r="AB20" s="6"/>
    </row>
    <row r="21" spans="1:35" ht="13.5" thickBot="1">
      <c r="A21" s="5">
        <f>'Lifetime Gifts'!B21</f>
        <v>0</v>
      </c>
      <c r="B21" s="5" t="str">
        <f>IF(A21=0,"NA",IF(A21&gt;=$AI$4,"Yes","No"))</f>
        <v>NA</v>
      </c>
      <c r="C21" s="5">
        <f>IF(B21="NA","",IF(B21="no","",IF(B21="yes",IF('Lifetime Gifts'!J21&gt;0,1,IF('Lifetime Gifts'!L21&gt;0,1,"")))))</f>
      </c>
      <c r="D21" s="5">
        <f>A21</f>
        <v>0</v>
      </c>
      <c r="E21" s="5" t="b">
        <f>IF(B21="no",IF($C$41&gt;=1,IF(A21&gt;=$AL$4,"Yes")))</f>
        <v>0</v>
      </c>
      <c r="F21" s="5" t="b">
        <f>IF(B21="yes",IF(B23="No",M21,""))</f>
        <v>0</v>
      </c>
      <c r="G21" s="5">
        <f>IF($A21&lt;=$AI$4,'Lifetime Gifts'!AC21,0)</f>
        <v>0</v>
      </c>
      <c r="H21" s="5"/>
      <c r="I21" s="5">
        <f>IF($A21&lt;=$AI$4,'Lifetime Gifts'!AE21,0)</f>
        <v>0</v>
      </c>
      <c r="J21" s="5">
        <f>IF(B21="no",Q21,"")</f>
      </c>
      <c r="K21" s="5">
        <f>IF(B21="no",U21,"")</f>
      </c>
      <c r="M21" s="20">
        <f>IF(B21="yes",'Lifetime Gifts'!B21,IF(B21="NA","",IF(E21="yes",'Lifetime Gifts'!B21,"")))</f>
      </c>
      <c r="N21" s="21"/>
      <c r="O21" s="22">
        <f>IF(B21="yes",'Lifetime Gifts'!D21,IF(B21="NA","",IF(E21="yes",'Lifetime Gifts'!D21,"")))</f>
      </c>
      <c r="P21" s="23"/>
      <c r="Q21" s="98">
        <f>IF(B21="NA",0,IF(B21="yes",'Lifetime Gifts'!F21-'Lifetime Gifts'!H21+'Lifetime Gifts'!AC21,IF(E21="yes",'Lifetime Gifts'!L21+'Lifetime Gifts'!AC21,0)))</f>
        <v>0</v>
      </c>
      <c r="R21" s="23"/>
      <c r="S21" s="25">
        <f>IF(AD21=0,0,IF(AD21=1,20%,IF(AD21=2,40%,IF(AD21=3,60%,IF(AD21=4,80%,IF(AD21=5,100%))))))</f>
        <v>0</v>
      </c>
      <c r="T21" s="23"/>
      <c r="U21" s="105">
        <f>IF(Q21=0,0,'Death Workings '!G14)</f>
        <v>0</v>
      </c>
      <c r="V21" s="107"/>
      <c r="W21" s="100">
        <f>(Q21-U21)*'Tax Payable'!C10</f>
        <v>0</v>
      </c>
      <c r="X21" s="107"/>
      <c r="Y21" s="100">
        <f>(Q21-U21)*'Tax Payable'!C10*(1-S21)</f>
        <v>0</v>
      </c>
      <c r="Z21" s="23"/>
      <c r="AA21" s="30">
        <f>IF('Lifetime Gifts'!Y21="donor",'Death Chargeable Gifts'!Y21,0)</f>
        <v>0</v>
      </c>
      <c r="AB21" s="30">
        <f>IF('Lifetime Gifts'!Y21="donee",'Death Chargeable Gifts'!Y21,0)</f>
        <v>0</v>
      </c>
      <c r="AC21" s="7">
        <f>AC23-U21</f>
        <v>0</v>
      </c>
      <c r="AD21">
        <f>SUM(AE21:AI21)</f>
        <v>0</v>
      </c>
      <c r="AE21" t="b">
        <f>IF(Q21&gt;0,IF(M21&lt;AE5,1,0))</f>
        <v>0</v>
      </c>
      <c r="AF21" t="b">
        <f>IF(Q21&gt;0,IF(M21&lt;AF5,1,0))</f>
        <v>0</v>
      </c>
      <c r="AG21" t="b">
        <f>IF(Q21&gt;0,IF(M21&lt;AG5,1,0))</f>
        <v>0</v>
      </c>
      <c r="AH21" t="b">
        <f>IF(Q21&gt;0,IF(M21&lt;AH5,1,0))</f>
        <v>0</v>
      </c>
      <c r="AI21" t="b">
        <f>IF(Q21&gt;0,IF(M21&lt;AI5,1,0))</f>
        <v>0</v>
      </c>
    </row>
    <row r="22" spans="1:28" ht="4.5" customHeight="1" thickBot="1">
      <c r="A22" s="5"/>
      <c r="B22" s="5"/>
      <c r="C22" s="5"/>
      <c r="D22" s="5"/>
      <c r="E22" s="5"/>
      <c r="F22" s="5"/>
      <c r="G22" s="5"/>
      <c r="H22" s="5"/>
      <c r="I22" s="5"/>
      <c r="J22" s="5"/>
      <c r="K22" s="5"/>
      <c r="M22" s="23"/>
      <c r="N22" s="21"/>
      <c r="O22" s="23"/>
      <c r="P22" s="23"/>
      <c r="Q22" s="104"/>
      <c r="R22" s="23"/>
      <c r="S22" s="25"/>
      <c r="T22" s="23"/>
      <c r="U22" s="107"/>
      <c r="V22" s="107"/>
      <c r="W22" s="107"/>
      <c r="X22" s="107"/>
      <c r="Y22" s="107"/>
      <c r="Z22" s="23"/>
      <c r="AA22" s="23"/>
      <c r="AB22" s="6"/>
    </row>
    <row r="23" spans="1:35" ht="13.5" thickBot="1">
      <c r="A23" s="5">
        <f>'Lifetime Gifts'!B23</f>
        <v>0</v>
      </c>
      <c r="B23" s="5" t="str">
        <f>IF(A23=0,"NA",IF(A23&gt;=$AI$4,"Yes","No"))</f>
        <v>NA</v>
      </c>
      <c r="C23" s="5">
        <f>IF(B23="NA","",IF(B23="no","",IF(B23="yes",IF('Lifetime Gifts'!J23&gt;0,1,IF('Lifetime Gifts'!L23&gt;0,1,"")))))</f>
      </c>
      <c r="D23" s="5">
        <f>A23</f>
        <v>0</v>
      </c>
      <c r="E23" s="5" t="b">
        <f>IF(B23="no",IF($C$41&gt;=1,IF(A23&gt;=$AL$4,"Yes")))</f>
        <v>0</v>
      </c>
      <c r="F23" s="5" t="b">
        <f>IF(B23="yes",IF(B25="No",M23,""))</f>
        <v>0</v>
      </c>
      <c r="G23" s="5">
        <f>IF($A23&lt;=$AI$4,'Lifetime Gifts'!AC23,0)</f>
        <v>0</v>
      </c>
      <c r="H23" s="5"/>
      <c r="I23" s="5">
        <f>IF($A23&lt;=$AI$4,'Lifetime Gifts'!AE23,0)</f>
        <v>0</v>
      </c>
      <c r="J23" s="5">
        <f>IF(B23="no",Q23,"")</f>
      </c>
      <c r="K23" s="5">
        <f>IF(B23="no",U23,"")</f>
      </c>
      <c r="M23" s="20">
        <f>IF(B23="yes",'Lifetime Gifts'!B23,IF(B23="NA","",IF(E23="yes",'Lifetime Gifts'!B23,"")))</f>
      </c>
      <c r="N23" s="21"/>
      <c r="O23" s="22">
        <f>IF(B23="yes",'Lifetime Gifts'!D23,IF(B23="NA","",IF(E23="yes",'Lifetime Gifts'!D23,"")))</f>
      </c>
      <c r="P23" s="23"/>
      <c r="Q23" s="98">
        <f>IF(B23="NA",0,IF(B23="yes",'Lifetime Gifts'!F23-'Lifetime Gifts'!H23+'Lifetime Gifts'!AC23,IF(E23="yes",'Lifetime Gifts'!L23+'Lifetime Gifts'!AC23,0)))</f>
        <v>0</v>
      </c>
      <c r="R23" s="23"/>
      <c r="S23" s="25">
        <f>IF(AD23=0,0,IF(AD23=1,20%,IF(AD23=2,40%,IF(AD23=3,60%,IF(AD23=4,80%,IF(AD23=5,100%))))))</f>
        <v>0</v>
      </c>
      <c r="T23" s="23"/>
      <c r="U23" s="105">
        <f>IF(Q23=0,0,'Death Workings '!G13)</f>
        <v>0</v>
      </c>
      <c r="V23" s="107"/>
      <c r="W23" s="100">
        <f>(Q23-U23)*'Tax Payable'!C10</f>
        <v>0</v>
      </c>
      <c r="X23" s="107"/>
      <c r="Y23" s="100">
        <f>(Q23-U23)*'Tax Payable'!C10*(1-S23)</f>
        <v>0</v>
      </c>
      <c r="Z23" s="23"/>
      <c r="AA23" s="30">
        <f>IF('Lifetime Gifts'!Y23="donor",'Death Chargeable Gifts'!Y23,0)</f>
        <v>0</v>
      </c>
      <c r="AB23" s="30">
        <f>IF('Lifetime Gifts'!Y23="donee",'Death Chargeable Gifts'!Y23,0)</f>
        <v>0</v>
      </c>
      <c r="AC23" s="7">
        <f>AC25-U23</f>
        <v>0</v>
      </c>
      <c r="AD23">
        <f>SUM(AE23:AI23)</f>
        <v>0</v>
      </c>
      <c r="AE23" t="b">
        <f>IF(Q23&gt;0,IF(M23&lt;AE5,1,0))</f>
        <v>0</v>
      </c>
      <c r="AF23" t="b">
        <f>IF(Q23&gt;0,IF(M23&lt;AF5,1,0))</f>
        <v>0</v>
      </c>
      <c r="AG23" t="b">
        <f>IF(Q23&gt;0,IF(M23&lt;AG5,1,0))</f>
        <v>0</v>
      </c>
      <c r="AH23" t="b">
        <f>IF(Q23&gt;0,IF(M23&lt;AH5,1,0))</f>
        <v>0</v>
      </c>
      <c r="AI23" t="b">
        <f>IF(Q23&gt;0,IF(M23&lt;AI5,1,0))</f>
        <v>0</v>
      </c>
    </row>
    <row r="24" spans="1:28" ht="4.5" customHeight="1" thickBot="1">
      <c r="A24" s="5"/>
      <c r="B24" s="5"/>
      <c r="C24" s="5"/>
      <c r="D24" s="5"/>
      <c r="E24" s="5"/>
      <c r="F24" s="5"/>
      <c r="G24" s="5"/>
      <c r="H24" s="5"/>
      <c r="I24" s="5"/>
      <c r="J24" s="5"/>
      <c r="K24" s="5"/>
      <c r="M24" s="23"/>
      <c r="N24" s="21"/>
      <c r="O24" s="23"/>
      <c r="P24" s="23"/>
      <c r="Q24" s="104"/>
      <c r="R24" s="23"/>
      <c r="S24" s="25"/>
      <c r="T24" s="23"/>
      <c r="U24" s="107"/>
      <c r="V24" s="107"/>
      <c r="W24" s="107"/>
      <c r="X24" s="107"/>
      <c r="Y24" s="107"/>
      <c r="Z24" s="23"/>
      <c r="AA24" s="23"/>
      <c r="AB24" s="6"/>
    </row>
    <row r="25" spans="1:35" ht="13.5" thickBot="1">
      <c r="A25" s="5">
        <f>'Lifetime Gifts'!B25</f>
        <v>0</v>
      </c>
      <c r="B25" s="5" t="str">
        <f>IF(A25=0,"NA",IF(A25&gt;=$AI$4,"Yes","No"))</f>
        <v>NA</v>
      </c>
      <c r="C25" s="5">
        <f>IF(B25="NA","",IF(B25="no","",IF(B25="yes",IF('Lifetime Gifts'!J25&gt;0,1,IF('Lifetime Gifts'!L25&gt;0,1,"")))))</f>
      </c>
      <c r="D25" s="5">
        <f>A25</f>
        <v>0</v>
      </c>
      <c r="E25" s="5" t="b">
        <f>IF(B25="no",IF($C$41&gt;=1,IF(A25&gt;=$AL$4,"Yes")))</f>
        <v>0</v>
      </c>
      <c r="F25" s="5" t="b">
        <f>IF(B25="yes",IF(B27="No",M25,""))</f>
        <v>0</v>
      </c>
      <c r="G25" s="5">
        <f>IF($A25&lt;=$AI$4,'Lifetime Gifts'!AC25,0)</f>
        <v>0</v>
      </c>
      <c r="H25" s="5"/>
      <c r="I25" s="5">
        <f>IF($A25&lt;=$AI$4,'Lifetime Gifts'!AE25,0)</f>
        <v>0</v>
      </c>
      <c r="J25" s="5">
        <f>IF(B25="no",Q25,"")</f>
      </c>
      <c r="K25" s="5">
        <f>IF(B25="no",U25,"")</f>
      </c>
      <c r="M25" s="20">
        <f>IF(B25="yes",'Lifetime Gifts'!B25,IF(B25="NA","",IF(E25="yes",'Lifetime Gifts'!B25,"")))</f>
      </c>
      <c r="N25" s="21"/>
      <c r="O25" s="22">
        <f>IF(B25="yes",'Lifetime Gifts'!D25,IF(B25="NA","",IF(E25="yes",'Lifetime Gifts'!D25,"")))</f>
      </c>
      <c r="P25" s="23"/>
      <c r="Q25" s="98">
        <f>IF(B25="NA",0,IF(B25="yes",'Lifetime Gifts'!F25-'Lifetime Gifts'!H25+'Lifetime Gifts'!AC25,IF(E25="yes",'Lifetime Gifts'!L25+'Lifetime Gifts'!AC25,0)))</f>
        <v>0</v>
      </c>
      <c r="R25" s="23"/>
      <c r="S25" s="25">
        <f>IF(AD25=0,0,IF(AD25=1,20%,IF(AD25=2,40%,IF(AD25=3,60%,IF(AD25=4,80%,IF(AD25=5,100%))))))</f>
        <v>0</v>
      </c>
      <c r="T25" s="23"/>
      <c r="U25" s="105">
        <f>IF(Q25=0,0,'Death Workings '!G12)</f>
        <v>0</v>
      </c>
      <c r="V25" s="107"/>
      <c r="W25" s="100">
        <f>(Q25-U25)*'Tax Payable'!C10</f>
        <v>0</v>
      </c>
      <c r="X25" s="107"/>
      <c r="Y25" s="100">
        <f>(Q25-U25)*'Tax Payable'!C10*(1-S25)</f>
        <v>0</v>
      </c>
      <c r="Z25" s="23"/>
      <c r="AA25" s="30">
        <f>IF('Lifetime Gifts'!Y25="donor",'Death Chargeable Gifts'!Y25,0)</f>
        <v>0</v>
      </c>
      <c r="AB25" s="30">
        <f>IF('Lifetime Gifts'!Y25="donee",'Death Chargeable Gifts'!Y25,0)</f>
        <v>0</v>
      </c>
      <c r="AC25" s="7">
        <f>AC27-U25</f>
        <v>0</v>
      </c>
      <c r="AD25">
        <f>SUM(AE25:AI25)</f>
        <v>0</v>
      </c>
      <c r="AE25" t="b">
        <f>IF(Q25&gt;0,IF(M25&lt;AE5,1,0))</f>
        <v>0</v>
      </c>
      <c r="AF25" t="b">
        <f>IF(Q25&gt;0,IF(M25&lt;AF5,1,0))</f>
        <v>0</v>
      </c>
      <c r="AG25" t="b">
        <f>IF(Q25&gt;0,IF(M25&lt;AG5,1,0))</f>
        <v>0</v>
      </c>
      <c r="AH25" t="b">
        <f>IF(Q25&gt;0,IF(M25&lt;AH5,1,0))</f>
        <v>0</v>
      </c>
      <c r="AI25" t="b">
        <f>IF(Q25&gt;0,IF(M25&lt;AI5,1,0))</f>
        <v>0</v>
      </c>
    </row>
    <row r="26" spans="1:28" ht="4.5" customHeight="1" thickBot="1">
      <c r="A26" s="5"/>
      <c r="B26" s="5"/>
      <c r="C26" s="5"/>
      <c r="D26" s="5"/>
      <c r="E26" s="5"/>
      <c r="F26" s="5"/>
      <c r="G26" s="5"/>
      <c r="H26" s="5"/>
      <c r="I26" s="5"/>
      <c r="J26" s="5"/>
      <c r="K26" s="5"/>
      <c r="M26" s="23"/>
      <c r="N26" s="21"/>
      <c r="O26" s="23"/>
      <c r="P26" s="23"/>
      <c r="Q26" s="104"/>
      <c r="R26" s="23"/>
      <c r="S26" s="25"/>
      <c r="T26" s="23"/>
      <c r="U26" s="107"/>
      <c r="V26" s="107"/>
      <c r="W26" s="107"/>
      <c r="X26" s="107"/>
      <c r="Y26" s="107"/>
      <c r="Z26" s="23"/>
      <c r="AA26" s="23"/>
      <c r="AB26" s="6"/>
    </row>
    <row r="27" spans="1:35" ht="13.5" thickBot="1">
      <c r="A27" s="5">
        <f>'Lifetime Gifts'!B27</f>
        <v>0</v>
      </c>
      <c r="B27" s="5" t="str">
        <f>IF(A27=0,"NA",IF(A27&gt;=$AI$4,"Yes","No"))</f>
        <v>NA</v>
      </c>
      <c r="C27" s="5">
        <f>IF(B27="NA","",IF(B27="no","",IF(B27="yes",IF('Lifetime Gifts'!J27&gt;0,1,IF('Lifetime Gifts'!L27&gt;0,1,"")))))</f>
      </c>
      <c r="D27" s="5">
        <f>A27</f>
        <v>0</v>
      </c>
      <c r="E27" s="5" t="b">
        <f>IF(B27="no",IF($C$41&gt;=1,IF(A27&gt;=$AL$4,"Yes")))</f>
        <v>0</v>
      </c>
      <c r="F27" s="5" t="b">
        <f>IF(B27="yes",IF(B29="No",M27,""))</f>
        <v>0</v>
      </c>
      <c r="G27" s="5">
        <f>IF($A27&lt;=$AI$4,'Lifetime Gifts'!AC27,0)</f>
        <v>0</v>
      </c>
      <c r="H27" s="5"/>
      <c r="I27" s="5">
        <f>IF($A27&lt;=$AI$4,'Lifetime Gifts'!AE27,0)</f>
        <v>0</v>
      </c>
      <c r="J27" s="5">
        <f>IF(B27="no",Q27,"")</f>
      </c>
      <c r="K27" s="5">
        <f>IF(B27="no",U27,"")</f>
      </c>
      <c r="M27" s="20">
        <f>IF(B27="yes",'Lifetime Gifts'!B27,IF(B27="NA","",IF(E27="yes",'Lifetime Gifts'!B27,"")))</f>
      </c>
      <c r="N27" s="21"/>
      <c r="O27" s="22">
        <f>IF(B27="yes",'Lifetime Gifts'!D27,IF(B27="NA","",IF(E27="yes",'Lifetime Gifts'!D27,"")))</f>
      </c>
      <c r="P27" s="23"/>
      <c r="Q27" s="98">
        <f>IF(B27="NA",0,IF(B27="yes",'Lifetime Gifts'!F27-'Lifetime Gifts'!H27+'Lifetime Gifts'!AC27,IF(E27="yes",'Lifetime Gifts'!L27+'Lifetime Gifts'!AC27,0)))</f>
        <v>0</v>
      </c>
      <c r="R27" s="23"/>
      <c r="S27" s="25">
        <f>IF(AD27=0,0,IF(AD27=1,20%,IF(AD27=2,40%,IF(AD27=3,60%,IF(AD27=4,80%,IF(AD27=5,100%))))))</f>
        <v>0</v>
      </c>
      <c r="T27" s="23"/>
      <c r="U27" s="105">
        <f>IF(Q27=0,0,'Death Workings '!G11)</f>
        <v>0</v>
      </c>
      <c r="V27" s="107"/>
      <c r="W27" s="100">
        <f>(Q27-U27)*'Tax Payable'!C10</f>
        <v>0</v>
      </c>
      <c r="X27" s="107"/>
      <c r="Y27" s="100">
        <f>(Q27-U27)*'Tax Payable'!C10*(1-S27)</f>
        <v>0</v>
      </c>
      <c r="Z27" s="23"/>
      <c r="AA27" s="30">
        <f>IF('Lifetime Gifts'!Y27="donor",'Death Chargeable Gifts'!Y27,0)</f>
        <v>0</v>
      </c>
      <c r="AB27" s="30">
        <f>IF('Lifetime Gifts'!Y27="donee",'Death Chargeable Gifts'!Y27,0)</f>
        <v>0</v>
      </c>
      <c r="AC27" s="7">
        <f>AC29-U27</f>
        <v>0</v>
      </c>
      <c r="AD27">
        <f>SUM(AE27:AI27)</f>
        <v>0</v>
      </c>
      <c r="AE27" t="b">
        <f>IF(Q27&gt;0,IF(M27&lt;AE5,1,0))</f>
        <v>0</v>
      </c>
      <c r="AF27" t="b">
        <f>IF(Q27&gt;0,IF(M27&lt;AF5,1,0))</f>
        <v>0</v>
      </c>
      <c r="AG27" t="b">
        <f>IF(Q27&gt;0,IF(M27&lt;AG5,1,0))</f>
        <v>0</v>
      </c>
      <c r="AH27" t="b">
        <f>IF(Q27&gt;0,IF(M27&lt;AH5,1,0))</f>
        <v>0</v>
      </c>
      <c r="AI27" t="b">
        <f>IF(Q27&gt;0,IF(M27&lt;AI5,1,0))</f>
        <v>0</v>
      </c>
    </row>
    <row r="28" spans="1:28" ht="4.5" customHeight="1" thickBot="1">
      <c r="A28" s="5"/>
      <c r="B28" s="5"/>
      <c r="C28" s="5"/>
      <c r="D28" s="5"/>
      <c r="E28" s="5"/>
      <c r="F28" s="5"/>
      <c r="G28" s="5"/>
      <c r="H28" s="5"/>
      <c r="I28" s="5"/>
      <c r="J28" s="5"/>
      <c r="K28" s="5"/>
      <c r="M28" s="26"/>
      <c r="N28" s="21"/>
      <c r="O28" s="23"/>
      <c r="P28" s="23"/>
      <c r="Q28" s="104"/>
      <c r="R28" s="23"/>
      <c r="S28" s="25"/>
      <c r="T28" s="23"/>
      <c r="U28" s="107"/>
      <c r="V28" s="107"/>
      <c r="W28" s="107"/>
      <c r="X28" s="107"/>
      <c r="Y28" s="107"/>
      <c r="Z28" s="23"/>
      <c r="AA28" s="23"/>
      <c r="AB28" s="6"/>
    </row>
    <row r="29" spans="1:35" ht="13.5" thickBot="1">
      <c r="A29" s="5">
        <f>'Lifetime Gifts'!B29</f>
        <v>0</v>
      </c>
      <c r="B29" s="5" t="str">
        <f>IF(A29=0,"NA",IF(A29&gt;=$AI$4,"Yes","No"))</f>
        <v>NA</v>
      </c>
      <c r="C29" s="5">
        <f>IF(B29="NA","",IF(B29="no","",IF(B29="yes",IF('Lifetime Gifts'!J29&gt;0,1,IF('Lifetime Gifts'!L29&gt;0,1,"")))))</f>
      </c>
      <c r="D29" s="5">
        <f>A29</f>
        <v>0</v>
      </c>
      <c r="E29" s="5" t="b">
        <f>IF(B29="no",IF($C$41&gt;=1,IF(A29&gt;=$AL$4,"Yes")))</f>
        <v>0</v>
      </c>
      <c r="F29" s="5" t="b">
        <f>IF(B29="yes",IF(B31="No",M29,""))</f>
        <v>0</v>
      </c>
      <c r="G29" s="5">
        <f>IF($A29&lt;=$AI$4,'Lifetime Gifts'!AC29,0)</f>
        <v>0</v>
      </c>
      <c r="H29" s="5"/>
      <c r="I29" s="5">
        <f>IF($A29&lt;=$AI$4,'Lifetime Gifts'!AE29,0)</f>
        <v>0</v>
      </c>
      <c r="J29" s="5">
        <f>IF(B29="no",Q29,"")</f>
      </c>
      <c r="K29" s="5">
        <f>IF(B29="no",U29,"")</f>
      </c>
      <c r="M29" s="20">
        <f>IF(B29="yes",'Lifetime Gifts'!B29,IF(B29="NA","",IF(E29="yes",'Lifetime Gifts'!B29,"")))</f>
      </c>
      <c r="N29" s="21"/>
      <c r="O29" s="22">
        <f>IF(B29="yes",'Lifetime Gifts'!D29,IF(B29="NA","",IF(E29="yes",'Lifetime Gifts'!D29,"")))</f>
      </c>
      <c r="P29" s="23"/>
      <c r="Q29" s="98">
        <f>IF(B29="NA",0,IF(B29="yes",'Lifetime Gifts'!F29-'Lifetime Gifts'!H29+'Lifetime Gifts'!AC29,IF(E29="yes",'Lifetime Gifts'!L29+'Lifetime Gifts'!AC29,0)))</f>
        <v>0</v>
      </c>
      <c r="R29" s="23"/>
      <c r="S29" s="25">
        <f>IF(AD29=0,0,IF(AD29=1,20%,IF(AD29=2,40%,IF(AD29=3,60%,IF(AD29=4,80%,IF(AD29=5,100%))))))</f>
        <v>0</v>
      </c>
      <c r="T29" s="23"/>
      <c r="U29" s="105">
        <f>IF(Q29=0,0,'Death Workings '!G10)</f>
        <v>0</v>
      </c>
      <c r="V29" s="107"/>
      <c r="W29" s="100">
        <f>(Q29-U29)*'Tax Payable'!C10</f>
        <v>0</v>
      </c>
      <c r="X29" s="107"/>
      <c r="Y29" s="100">
        <f>(Q29-U29)*'Tax Payable'!C10*(1-S29)</f>
        <v>0</v>
      </c>
      <c r="Z29" s="23"/>
      <c r="AA29" s="30">
        <f>IF('Lifetime Gifts'!Y29="donor",'Death Chargeable Gifts'!Y29,0)</f>
        <v>0</v>
      </c>
      <c r="AB29" s="30">
        <f>IF('Lifetime Gifts'!Y29="donee",'Death Chargeable Gifts'!Y29,0)</f>
        <v>0</v>
      </c>
      <c r="AC29" s="7">
        <f>AC31-U29</f>
        <v>0</v>
      </c>
      <c r="AD29">
        <f>SUM(AE29:AI29)</f>
        <v>0</v>
      </c>
      <c r="AE29" t="b">
        <f>IF(Q29&gt;0,IF(M29&lt;AE5,1,0))</f>
        <v>0</v>
      </c>
      <c r="AF29" t="b">
        <f>IF(Q29&gt;0,IF(M29&lt;AF5,1,0))</f>
        <v>0</v>
      </c>
      <c r="AG29" t="b">
        <f>IF(Q29&gt;0,IF(M29&lt;AG5,1,0))</f>
        <v>0</v>
      </c>
      <c r="AH29" t="b">
        <f>IF(Q29&gt;0,IF(M29&lt;AH5,1,0))</f>
        <v>0</v>
      </c>
      <c r="AI29" t="b">
        <f>IF(Q29&gt;0,IF(M29&lt;AI5,1,0))</f>
        <v>0</v>
      </c>
    </row>
    <row r="30" spans="1:28" ht="4.5" customHeight="1" thickBot="1">
      <c r="A30" s="5"/>
      <c r="B30" s="5"/>
      <c r="C30" s="5"/>
      <c r="D30" s="5"/>
      <c r="E30" s="5"/>
      <c r="F30" s="5"/>
      <c r="G30" s="5"/>
      <c r="H30" s="5"/>
      <c r="I30" s="5"/>
      <c r="J30" s="5"/>
      <c r="K30" s="5"/>
      <c r="M30" s="23"/>
      <c r="N30" s="21"/>
      <c r="O30" s="23"/>
      <c r="P30" s="23"/>
      <c r="Q30" s="104"/>
      <c r="R30" s="23"/>
      <c r="S30" s="25"/>
      <c r="T30" s="23"/>
      <c r="U30" s="107"/>
      <c r="V30" s="107"/>
      <c r="W30" s="107"/>
      <c r="X30" s="107"/>
      <c r="Y30" s="107"/>
      <c r="Z30" s="23"/>
      <c r="AA30" s="23"/>
      <c r="AB30" s="6"/>
    </row>
    <row r="31" spans="1:35" ht="13.5" thickBot="1">
      <c r="A31" s="5">
        <f>'Lifetime Gifts'!B31</f>
        <v>0</v>
      </c>
      <c r="B31" s="5" t="str">
        <f>IF(A31=0,"NA",IF(A31&gt;=$AI$4,"Yes","No"))</f>
        <v>NA</v>
      </c>
      <c r="C31" s="5">
        <f>IF(B31="NA","",IF(B31="no","",IF(B31="yes",IF('Lifetime Gifts'!J31&gt;0,1,IF('Lifetime Gifts'!L31&gt;0,1,"")))))</f>
      </c>
      <c r="D31" s="5">
        <f>A31</f>
        <v>0</v>
      </c>
      <c r="E31" s="5" t="b">
        <f>IF(B31="no",IF($C$41&gt;=1,IF(A31&gt;=$AL$4,"Yes")))</f>
        <v>0</v>
      </c>
      <c r="F31" s="5" t="b">
        <f>IF(B31="yes",IF(B33="No",M31,""))</f>
        <v>0</v>
      </c>
      <c r="G31" s="5">
        <f>IF($A31&lt;=$AI$4,'Lifetime Gifts'!AC31,0)</f>
        <v>0</v>
      </c>
      <c r="H31" s="5"/>
      <c r="I31" s="5">
        <f>IF($A31&lt;=$AI$4,'Lifetime Gifts'!AE31,0)</f>
        <v>0</v>
      </c>
      <c r="J31" s="5">
        <f>IF(B31="no",Q31,"")</f>
      </c>
      <c r="K31" s="5">
        <f>IF(B31="no",U31,"")</f>
      </c>
      <c r="M31" s="20">
        <f>IF(B31="yes",'Lifetime Gifts'!B31,IF(B31="NA","",IF(E31="yes",'Lifetime Gifts'!B31,"")))</f>
      </c>
      <c r="N31" s="21"/>
      <c r="O31" s="22">
        <f>IF(B31="yes",'Lifetime Gifts'!D31,IF(B31="NA","",IF(E31="yes",'Lifetime Gifts'!D31,"")))</f>
      </c>
      <c r="P31" s="23"/>
      <c r="Q31" s="98">
        <f>IF(B31="NA",0,IF(B31="yes",'Lifetime Gifts'!F31-'Lifetime Gifts'!H31+'Lifetime Gifts'!AC31,IF(E31="yes",'Lifetime Gifts'!L31+'Lifetime Gifts'!AC31,0)))</f>
        <v>0</v>
      </c>
      <c r="R31" s="23"/>
      <c r="S31" s="25">
        <f>IF(AD31=0,0,IF(AD31=1,20%,IF(AD31=2,40%,IF(AD31=3,60%,IF(AD31=4,80%,IF(AD31=5,100%))))))</f>
        <v>0</v>
      </c>
      <c r="T31" s="23"/>
      <c r="U31" s="105">
        <f>IF(Q31=0,0,'Death Workings '!G9)</f>
        <v>0</v>
      </c>
      <c r="V31" s="107"/>
      <c r="W31" s="100">
        <f>(Q31-U31)*'Tax Payable'!C10</f>
        <v>0</v>
      </c>
      <c r="X31" s="107"/>
      <c r="Y31" s="100">
        <f>(Q31-U31)*'Tax Payable'!C10*(1-S31)</f>
        <v>0</v>
      </c>
      <c r="Z31" s="23"/>
      <c r="AA31" s="30">
        <f>IF('Lifetime Gifts'!Y31="donor",'Death Chargeable Gifts'!Y31,0)</f>
        <v>0</v>
      </c>
      <c r="AB31" s="30">
        <f>IF('Lifetime Gifts'!Y31="donee",'Death Chargeable Gifts'!Y31,0)</f>
        <v>0</v>
      </c>
      <c r="AC31" s="7">
        <f>AC33-U31</f>
        <v>0</v>
      </c>
      <c r="AD31">
        <f>SUM(AE31:AI31)</f>
        <v>0</v>
      </c>
      <c r="AE31" t="b">
        <f>IF(Q31&gt;0,IF(M31&lt;AE5,1,0))</f>
        <v>0</v>
      </c>
      <c r="AF31" t="b">
        <f>IF(Q31&gt;0,IF(M31&lt;AF5,1,0))</f>
        <v>0</v>
      </c>
      <c r="AG31" t="b">
        <f>IF(Q31&gt;0,IF(M31&lt;AG5,1,0))</f>
        <v>0</v>
      </c>
      <c r="AH31" t="b">
        <f>IF(Q31&gt;0,IF(M31&lt;AH5,1,0))</f>
        <v>0</v>
      </c>
      <c r="AI31" t="b">
        <f>IF(Q31&gt;0,IF(M31&lt;AI5,1,0))</f>
        <v>0</v>
      </c>
    </row>
    <row r="32" spans="1:28" ht="4.5" customHeight="1" thickBot="1">
      <c r="A32" s="5"/>
      <c r="B32" s="5"/>
      <c r="C32" s="5"/>
      <c r="D32" s="5"/>
      <c r="E32" s="5"/>
      <c r="F32" s="5"/>
      <c r="G32" s="5"/>
      <c r="H32" s="5"/>
      <c r="I32" s="5"/>
      <c r="J32" s="5"/>
      <c r="K32" s="5"/>
      <c r="M32" s="23"/>
      <c r="N32" s="21"/>
      <c r="O32" s="23"/>
      <c r="P32" s="23"/>
      <c r="Q32" s="104"/>
      <c r="R32" s="23"/>
      <c r="S32" s="25"/>
      <c r="T32" s="23"/>
      <c r="U32" s="107"/>
      <c r="V32" s="107"/>
      <c r="W32" s="107"/>
      <c r="X32" s="107"/>
      <c r="Y32" s="107"/>
      <c r="Z32" s="23"/>
      <c r="AA32" s="23"/>
      <c r="AB32" s="6"/>
    </row>
    <row r="33" spans="1:35" ht="13.5" thickBot="1">
      <c r="A33" s="5">
        <f>'Lifetime Gifts'!B33</f>
        <v>0</v>
      </c>
      <c r="B33" s="5" t="str">
        <f>IF(A33=0,"NA",IF(A33&gt;=$AI$4,"Yes","No"))</f>
        <v>NA</v>
      </c>
      <c r="C33" s="5">
        <f>IF(B33="NA","",IF(B33="no","",IF(B33="yes",IF('Lifetime Gifts'!J33&gt;0,1,IF('Lifetime Gifts'!L33&gt;0,1,"")))))</f>
      </c>
      <c r="D33" s="5">
        <f>A33</f>
        <v>0</v>
      </c>
      <c r="E33" s="5" t="b">
        <f>IF(B33="no",IF($C$41&gt;=1,IF(A33&gt;=$AL$4,"Yes")))</f>
        <v>0</v>
      </c>
      <c r="F33" s="5" t="b">
        <f>IF(B33="yes",IF(B35="No",M33,""))</f>
        <v>0</v>
      </c>
      <c r="G33" s="5">
        <f>IF($A33&lt;=$AI$4,'Lifetime Gifts'!AC33,0)</f>
        <v>0</v>
      </c>
      <c r="H33" s="5"/>
      <c r="I33" s="5">
        <f>IF($A33&lt;=$AI$4,'Lifetime Gifts'!AE33,0)</f>
        <v>0</v>
      </c>
      <c r="J33" s="5">
        <f>IF(B33="no",Q33,"")</f>
      </c>
      <c r="K33" s="5">
        <f>IF(B33="no",U33,"")</f>
      </c>
      <c r="M33" s="20">
        <f>IF(B33="yes",'Lifetime Gifts'!B33,IF(B33="NA","",IF(E33="yes",'Lifetime Gifts'!B33,"")))</f>
      </c>
      <c r="N33" s="21"/>
      <c r="O33" s="22">
        <f>IF(B33="yes",'Lifetime Gifts'!D33,IF(B33="NA","",IF(E33="yes",'Lifetime Gifts'!D33,"")))</f>
      </c>
      <c r="P33" s="23"/>
      <c r="Q33" s="98">
        <f>IF(B33="NA",0,IF(B33="yes",'Lifetime Gifts'!F33-'Lifetime Gifts'!H33+'Lifetime Gifts'!AC33,IF(E33="yes",'Lifetime Gifts'!L33+'Lifetime Gifts'!AC33,0)))</f>
        <v>0</v>
      </c>
      <c r="R33" s="23"/>
      <c r="S33" s="25">
        <f>IF(AD33=0,0,IF(AD33=1,20%,IF(AD33=2,40%,IF(AD33=3,60%,IF(AD33=4,80%,IF(AD33=5,100%))))))</f>
        <v>0</v>
      </c>
      <c r="T33" s="23"/>
      <c r="U33" s="105">
        <f>IF(Q33=0,0,'Death Workings '!G8)</f>
        <v>0</v>
      </c>
      <c r="V33" s="107"/>
      <c r="W33" s="100">
        <f>(Q33-U33)*'Tax Payable'!C10</f>
        <v>0</v>
      </c>
      <c r="X33" s="107"/>
      <c r="Y33" s="100">
        <f>(Q33-U33)*'Tax Payable'!C10*(1-S33)</f>
        <v>0</v>
      </c>
      <c r="Z33" s="23"/>
      <c r="AA33" s="30">
        <f>IF('Lifetime Gifts'!Y33="donor",'Death Chargeable Gifts'!Y33,0)</f>
        <v>0</v>
      </c>
      <c r="AB33" s="30">
        <f>IF('Lifetime Gifts'!Y33="donee",'Death Chargeable Gifts'!Y33,0)</f>
        <v>0</v>
      </c>
      <c r="AC33" s="7">
        <f>AC35-U33</f>
        <v>0</v>
      </c>
      <c r="AD33">
        <f>SUM(AE33:AI33)</f>
        <v>0</v>
      </c>
      <c r="AE33" t="b">
        <f>IF(Q33&gt;0,IF(M33&lt;AE5,1,0))</f>
        <v>0</v>
      </c>
      <c r="AF33" t="b">
        <f>IF(Q33&gt;0,IF(M33&lt;AF5,1,0))</f>
        <v>0</v>
      </c>
      <c r="AG33" t="b">
        <f>IF(Q33&gt;0,IF(M33&lt;AG5,1,0))</f>
        <v>0</v>
      </c>
      <c r="AH33" t="b">
        <f>IF(Q33&gt;0,IF(M33&lt;AH5,1,0))</f>
        <v>0</v>
      </c>
      <c r="AI33" t="b">
        <f>IF(Q33&gt;0,IF(M33&lt;AI5,1,0))</f>
        <v>0</v>
      </c>
    </row>
    <row r="34" spans="1:35" ht="4.5" customHeight="1" thickBot="1">
      <c r="A34" s="5"/>
      <c r="B34" s="5"/>
      <c r="C34" s="5"/>
      <c r="D34" s="5"/>
      <c r="E34" s="5"/>
      <c r="F34" s="5"/>
      <c r="G34" s="5"/>
      <c r="H34" s="5"/>
      <c r="I34" s="5"/>
      <c r="J34" s="5"/>
      <c r="K34" s="5"/>
      <c r="M34" s="23"/>
      <c r="N34" s="21"/>
      <c r="O34" s="23"/>
      <c r="P34" s="23"/>
      <c r="Q34" s="104"/>
      <c r="R34" s="23"/>
      <c r="S34" s="25"/>
      <c r="T34" s="23"/>
      <c r="U34" s="107"/>
      <c r="V34" s="107"/>
      <c r="W34" s="107"/>
      <c r="X34" s="107"/>
      <c r="Y34" s="107"/>
      <c r="Z34" s="23"/>
      <c r="AA34" s="23"/>
      <c r="AB34" s="6"/>
      <c r="AE34">
        <f>IF(M34&lt;AE5,1,0)</f>
        <v>1</v>
      </c>
      <c r="AF34">
        <f>IF(M34&lt;AF5,1,0)</f>
        <v>1</v>
      </c>
      <c r="AG34">
        <f>IF(M34&lt;AG5,1,0)</f>
        <v>1</v>
      </c>
      <c r="AH34">
        <f>IF(M34&lt;AH5,1,0)</f>
        <v>1</v>
      </c>
      <c r="AI34">
        <f>IF(M34&lt;AI5,1,0)</f>
        <v>1</v>
      </c>
    </row>
    <row r="35" spans="1:35" ht="13.5" thickBot="1">
      <c r="A35" s="5">
        <f>'Lifetime Gifts'!B35</f>
        <v>0</v>
      </c>
      <c r="B35" s="5" t="str">
        <f>IF(A35=0,"NA",IF(A35&gt;=$AI$4,"Yes","No"))</f>
        <v>NA</v>
      </c>
      <c r="C35" s="5">
        <f>IF(B35="NA","",IF(B35="no","",IF(B35="yes",IF('Lifetime Gifts'!J35&gt;0,1,IF('Lifetime Gifts'!L35&gt;0,1,"")))))</f>
      </c>
      <c r="D35" s="5">
        <f>A35</f>
        <v>0</v>
      </c>
      <c r="E35" s="5" t="b">
        <f>IF(B35="no",IF($C$41&gt;=1,IF(A35&gt;=$AL$4,"Yes")))</f>
        <v>0</v>
      </c>
      <c r="F35" s="5" t="b">
        <f>IF(B35="yes",IF(B37="No",M35,""))</f>
        <v>0</v>
      </c>
      <c r="G35" s="5">
        <f>IF($A35&lt;=$AI$4,'Lifetime Gifts'!AC35,0)</f>
        <v>0</v>
      </c>
      <c r="H35" s="5"/>
      <c r="I35" s="5">
        <f>IF($A35&lt;=$AI$4,'Lifetime Gifts'!AE35,0)</f>
        <v>0</v>
      </c>
      <c r="J35" s="5">
        <f>IF(B35="no",Q35,"")</f>
      </c>
      <c r="K35" s="5">
        <f>IF(B35="no",U35,"")</f>
      </c>
      <c r="M35" s="20">
        <f>IF(B35="yes",'Lifetime Gifts'!B35,IF(B35="NA","",IF(E35="yes",'Lifetime Gifts'!B35,"")))</f>
      </c>
      <c r="N35" s="21"/>
      <c r="O35" s="22">
        <f>IF(B35="yes",'Lifetime Gifts'!D35,IF(B35="NA","",IF(E35="yes",'Lifetime Gifts'!D35,"")))</f>
      </c>
      <c r="P35" s="23"/>
      <c r="Q35" s="98">
        <f>IF(B35="NA",0,IF(B35="yes",'Lifetime Gifts'!F35-'Lifetime Gifts'!H35+'Lifetime Gifts'!AC35,IF(E35="yes",'Lifetime Gifts'!L35+'Lifetime Gifts'!AC35,0)))</f>
        <v>0</v>
      </c>
      <c r="R35" s="23"/>
      <c r="S35" s="25">
        <f>IF(AD35=0,0,IF(AD35=1,20%,IF(AD35=2,40%,IF(AD35=3,60%,IF(AD35=4,80%,IF(AD35=5,100%))))))</f>
        <v>0</v>
      </c>
      <c r="T35" s="23"/>
      <c r="U35" s="105">
        <f>IF(Q35=0,0,'Death Workings '!G7)</f>
        <v>0</v>
      </c>
      <c r="V35" s="107"/>
      <c r="W35" s="100">
        <f>(Q35-U35)*'Tax Payable'!C10</f>
        <v>0</v>
      </c>
      <c r="X35" s="107"/>
      <c r="Y35" s="100">
        <f>(Q35-U35)*'Tax Payable'!C10*(1-S35)</f>
        <v>0</v>
      </c>
      <c r="Z35" s="23"/>
      <c r="AA35" s="30">
        <f>IF('Lifetime Gifts'!Y35="donor",'Death Chargeable Gifts'!Y35,0)</f>
        <v>0</v>
      </c>
      <c r="AB35" s="30">
        <f>IF('Lifetime Gifts'!Y35="donee",'Death Chargeable Gifts'!Y35,0)</f>
        <v>0</v>
      </c>
      <c r="AC35" s="7">
        <f>AC37-U35</f>
        <v>0</v>
      </c>
      <c r="AD35">
        <f>SUM(AE35:AI35)</f>
        <v>0</v>
      </c>
      <c r="AE35" t="b">
        <f>IF(Q35&gt;0,IF(M35&lt;AE5,1,0))</f>
        <v>0</v>
      </c>
      <c r="AF35" t="b">
        <f>IF(Q35&gt;0,IF(M35&lt;AF5,1,0))</f>
        <v>0</v>
      </c>
      <c r="AG35" t="b">
        <f>IF(Q35&gt;0,IF(M35&lt;AG5,1,0))</f>
        <v>0</v>
      </c>
      <c r="AH35" t="b">
        <f>IF(Q35&gt;0,IF(M35&lt;AH5,1,0))</f>
        <v>0</v>
      </c>
      <c r="AI35" t="b">
        <f>IF(Q35&gt;0,IF(M35&lt;AI5,1,0))</f>
        <v>0</v>
      </c>
    </row>
    <row r="36" spans="1:28" ht="4.5" customHeight="1" thickBot="1">
      <c r="A36" s="5"/>
      <c r="B36" s="5"/>
      <c r="C36" s="5"/>
      <c r="D36" s="5"/>
      <c r="E36" s="5"/>
      <c r="F36" s="5"/>
      <c r="G36" s="5"/>
      <c r="H36" s="5"/>
      <c r="I36" s="5"/>
      <c r="J36" s="5"/>
      <c r="K36" s="5"/>
      <c r="M36" s="23"/>
      <c r="N36" s="21"/>
      <c r="O36" s="23"/>
      <c r="P36" s="23"/>
      <c r="Q36" s="104"/>
      <c r="R36" s="23"/>
      <c r="S36" s="25"/>
      <c r="T36" s="23"/>
      <c r="U36" s="107"/>
      <c r="V36" s="107"/>
      <c r="W36" s="107"/>
      <c r="X36" s="107"/>
      <c r="Y36" s="107"/>
      <c r="Z36" s="23"/>
      <c r="AA36" s="23"/>
      <c r="AB36" s="6"/>
    </row>
    <row r="37" spans="1:35" ht="13.5" thickBot="1">
      <c r="A37" s="5">
        <f>'Lifetime Gifts'!B37</f>
        <v>0</v>
      </c>
      <c r="B37" s="5" t="str">
        <f>IF(A37=0,"NA",IF(A37&gt;=$AI$4,"Yes","No"))</f>
        <v>NA</v>
      </c>
      <c r="C37" s="5">
        <f>IF(B37="NA","",IF(B37="no","",IF(B37="yes",IF('Lifetime Gifts'!J37&gt;0,1,IF('Lifetime Gifts'!L37&gt;0,1,"")))))</f>
      </c>
      <c r="D37" s="5">
        <f>A37</f>
        <v>0</v>
      </c>
      <c r="E37" s="5" t="b">
        <f>IF(B37="no",IF($C$41&gt;=1,IF(A37&gt;=$AL$4,"Yes")))</f>
        <v>0</v>
      </c>
      <c r="F37" s="5" t="b">
        <f>IF(B37="yes",IF(B39="No",M37,""))</f>
        <v>0</v>
      </c>
      <c r="G37" s="5">
        <f>IF($A37&lt;=$AI$4,'Lifetime Gifts'!AC37,0)</f>
        <v>0</v>
      </c>
      <c r="H37" s="5"/>
      <c r="I37" s="5">
        <f>IF($A37&lt;=$AI$4,'Lifetime Gifts'!AE37,0)</f>
        <v>0</v>
      </c>
      <c r="J37" s="5">
        <f>IF(B37="no",Q37,"")</f>
      </c>
      <c r="K37" s="5">
        <f>IF(B37="no",U37,"")</f>
      </c>
      <c r="M37" s="20">
        <f>IF(B37="yes",'Lifetime Gifts'!B37,IF(B37="NA","",IF(E37="yes",'Lifetime Gifts'!B37,"")))</f>
      </c>
      <c r="N37" s="21"/>
      <c r="O37" s="22">
        <f>IF(B37="yes",'Lifetime Gifts'!D37,IF(B37="NA","",IF(E37="yes",'Lifetime Gifts'!D37,"")))</f>
      </c>
      <c r="P37" s="23"/>
      <c r="Q37" s="98">
        <f>IF(B37="NA",0,IF(B37="yes",'Lifetime Gifts'!F37-'Lifetime Gifts'!H37+'Lifetime Gifts'!AC37,IF(E37="yes",'Lifetime Gifts'!L37+'Lifetime Gifts'!AC37,0)))</f>
        <v>0</v>
      </c>
      <c r="R37" s="23"/>
      <c r="S37" s="25">
        <f>IF(AD37=0,0,IF(AD37=1,20%,IF(AD37=2,40%,IF(AD37=3,60%,IF(AD37=4,80%,IF(AD37=5,100%))))))</f>
        <v>0</v>
      </c>
      <c r="T37" s="23"/>
      <c r="U37" s="105">
        <f>IF(Q37=0,0,'Death Workings '!G6)</f>
        <v>0</v>
      </c>
      <c r="V37" s="107"/>
      <c r="W37" s="100">
        <f>(Q37-U37)*'Tax Payable'!C10</f>
        <v>0</v>
      </c>
      <c r="X37" s="107"/>
      <c r="Y37" s="100">
        <f>(Q37-U37)*'Tax Payable'!C10*(1-S37)</f>
        <v>0</v>
      </c>
      <c r="Z37" s="23"/>
      <c r="AA37" s="30">
        <f>IF('Lifetime Gifts'!Y37="donor",'Death Chargeable Gifts'!Y37,0)</f>
        <v>0</v>
      </c>
      <c r="AB37" s="30">
        <f>IF('Lifetime Gifts'!Y37="donee",'Death Chargeable Gifts'!Y37,0)</f>
        <v>0</v>
      </c>
      <c r="AC37" s="7">
        <f>AC39-U37</f>
        <v>0</v>
      </c>
      <c r="AD37">
        <f>SUM(AE37:AI37)</f>
        <v>0</v>
      </c>
      <c r="AE37" t="b">
        <f>IF(Q37&gt;0,IF(M37&lt;AE5,1,0))</f>
        <v>0</v>
      </c>
      <c r="AF37" t="b">
        <f>IF(Q37&gt;0,IF(M37&lt;AF5,1,0))</f>
        <v>0</v>
      </c>
      <c r="AG37" t="b">
        <f>IF(Q37&gt;0,IF(M37&lt;AG5,1,0))</f>
        <v>0</v>
      </c>
      <c r="AH37" t="b">
        <f>IF(Q37&gt;0,IF(M37&lt;AH5,1,0))</f>
        <v>0</v>
      </c>
      <c r="AI37" t="b">
        <f>IF(Q37&gt;0,IF(M37&lt;AI5,1,0))</f>
        <v>0</v>
      </c>
    </row>
    <row r="38" spans="1:28" ht="4.5" customHeight="1" thickBot="1">
      <c r="A38" s="5"/>
      <c r="B38" s="5"/>
      <c r="C38" s="5"/>
      <c r="D38" s="5"/>
      <c r="E38" s="5"/>
      <c r="F38" s="5"/>
      <c r="G38" s="5"/>
      <c r="H38" s="5"/>
      <c r="I38" s="5"/>
      <c r="J38" s="5"/>
      <c r="K38" s="5"/>
      <c r="M38" s="23"/>
      <c r="N38" s="21"/>
      <c r="O38" s="23"/>
      <c r="P38" s="23"/>
      <c r="Q38" s="104"/>
      <c r="R38" s="23"/>
      <c r="S38" s="25"/>
      <c r="T38" s="23"/>
      <c r="U38" s="107"/>
      <c r="V38" s="107"/>
      <c r="W38" s="107"/>
      <c r="X38" s="107"/>
      <c r="Y38" s="107"/>
      <c r="Z38" s="23"/>
      <c r="AA38" s="23"/>
      <c r="AB38" s="6"/>
    </row>
    <row r="39" spans="1:35" ht="13.5" thickBot="1">
      <c r="A39" s="5">
        <f>'Lifetime Gifts'!B39</f>
        <v>0</v>
      </c>
      <c r="B39" s="5" t="str">
        <f>IF(A39=0,"NA",IF(A39&gt;=$AI$4,"Yes","No"))</f>
        <v>NA</v>
      </c>
      <c r="C39" s="5">
        <f>IF(B39="NA","",IF(B39="no","",IF(B39="yes",IF('Lifetime Gifts'!J39&gt;0,1,IF('Lifetime Gifts'!L39&gt;0,1,"")))))</f>
      </c>
      <c r="D39" s="5">
        <f>A39</f>
        <v>0</v>
      </c>
      <c r="E39" s="5" t="b">
        <f>IF(B39="no",IF($C$41&gt;=1,IF(A39&gt;=$AL$4,"Yes")))</f>
        <v>0</v>
      </c>
      <c r="F39" s="5" t="b">
        <f>IF(B39="yes",IF(B41="No",M39,""))</f>
        <v>0</v>
      </c>
      <c r="G39" s="5">
        <f>IF($A39&lt;=$AI$4,'Lifetime Gifts'!AC39,0)</f>
        <v>0</v>
      </c>
      <c r="H39" s="5"/>
      <c r="I39" s="5">
        <f>IF($A39&lt;=$AI$4,'Lifetime Gifts'!AE39,0)</f>
        <v>0</v>
      </c>
      <c r="J39" s="5">
        <f>IF(B39="no",Q39,"")</f>
      </c>
      <c r="K39" s="5">
        <f>IF(B39="no",U39,"")</f>
      </c>
      <c r="M39" s="20">
        <f>IF(B39="yes",'Lifetime Gifts'!B39,IF(B39="NA","",IF(E39="yes",'Lifetime Gifts'!B39,"")))</f>
      </c>
      <c r="N39" s="21"/>
      <c r="O39" s="22">
        <f>IF(B39="yes",'Lifetime Gifts'!D39,IF(B39="NA","",IF(E39="yes",'Lifetime Gifts'!D39,"")))</f>
      </c>
      <c r="P39" s="23"/>
      <c r="Q39" s="98">
        <f>IF(B39="NA",0,IF(B39="yes",'Lifetime Gifts'!F39-'Lifetime Gifts'!H39+'Lifetime Gifts'!AC39,IF(E39="yes",'Lifetime Gifts'!L39+'Lifetime Gifts'!AC39,0)))</f>
        <v>0</v>
      </c>
      <c r="R39" s="23"/>
      <c r="S39" s="25">
        <f>IF(AD39=0,0,IF(AD39=1,20%,IF(AD39=2,40%,IF(AD39=3,60%,IF(AD39=4,80%,IF(AD39=5,100%))))))</f>
        <v>0</v>
      </c>
      <c r="T39" s="23"/>
      <c r="U39" s="105">
        <f>IF(Q39=0,0,'Death Workings '!G5)</f>
        <v>0</v>
      </c>
      <c r="V39" s="107"/>
      <c r="W39" s="100">
        <f>(Q39-U39)*'Tax Payable'!C10</f>
        <v>0</v>
      </c>
      <c r="X39" s="107"/>
      <c r="Y39" s="100">
        <f>(Q39-U39)*'Tax Payable'!C10*(1-S39)</f>
        <v>0</v>
      </c>
      <c r="Z39" s="23"/>
      <c r="AA39" s="30">
        <f>IF('Lifetime Gifts'!Y39="donor",'Death Chargeable Gifts'!Y39,0)</f>
        <v>0</v>
      </c>
      <c r="AB39" s="30">
        <f>IF('Lifetime Gifts'!Y39="donee",'Death Chargeable Gifts'!Y39,0)</f>
        <v>0</v>
      </c>
      <c r="AC39" s="7">
        <f>U41-U39</f>
        <v>0</v>
      </c>
      <c r="AD39">
        <f>SUM(AE39:AI39)</f>
        <v>0</v>
      </c>
      <c r="AE39" t="b">
        <f>IF(Q39&gt;0,IF(M39&lt;AE5,1,0))</f>
        <v>0</v>
      </c>
      <c r="AF39" t="b">
        <f>IF(Q39&gt;0,IF(M39&lt;AF5,1,0))</f>
        <v>0</v>
      </c>
      <c r="AG39" t="b">
        <f>IF(Q39&gt;0,IF(M39&lt;AG5,1,0))</f>
        <v>0</v>
      </c>
      <c r="AH39" t="b">
        <f>IF(Q39&gt;0,IF(M39&lt;AH5,1,0))</f>
        <v>0</v>
      </c>
      <c r="AI39" t="b">
        <f>IF(Q39&gt;0,IF(M39&lt;AI5,1,0))</f>
        <v>0</v>
      </c>
    </row>
    <row r="40" spans="3:27" ht="4.5" customHeight="1" thickBot="1">
      <c r="C40" s="5"/>
      <c r="M40" s="21"/>
      <c r="N40" s="21"/>
      <c r="O40" s="21"/>
      <c r="P40" s="21"/>
      <c r="Q40" s="99"/>
      <c r="R40" s="21"/>
      <c r="S40" s="21"/>
      <c r="T40" s="21"/>
      <c r="U40" s="101"/>
      <c r="V40" s="101"/>
      <c r="W40" s="101"/>
      <c r="X40" s="101"/>
      <c r="Y40" s="101"/>
      <c r="Z40" s="21"/>
      <c r="AA40" s="21"/>
    </row>
    <row r="41" spans="3:29" ht="13.5" thickBot="1">
      <c r="C41" s="16">
        <f>SUM(C7:C39)</f>
        <v>0</v>
      </c>
      <c r="D41" s="17"/>
      <c r="F41" s="18">
        <f>SUM(F7:F39)</f>
        <v>0</v>
      </c>
      <c r="G41" s="16">
        <f>SUM(G7:G39)</f>
        <v>0</v>
      </c>
      <c r="H41" s="17"/>
      <c r="I41" s="16">
        <f>SUM(I7:I39)</f>
        <v>0</v>
      </c>
      <c r="J41" s="16">
        <f>SUM(J7:J39)</f>
        <v>0</v>
      </c>
      <c r="K41" s="16">
        <f>SUM(K7:K39)</f>
        <v>0</v>
      </c>
      <c r="M41" s="21"/>
      <c r="N41" s="21"/>
      <c r="O41" s="21"/>
      <c r="P41" s="21"/>
      <c r="Q41" s="105">
        <f>SUM(Q7:Q39)</f>
        <v>0</v>
      </c>
      <c r="R41" s="21"/>
      <c r="S41" s="21"/>
      <c r="T41" s="21"/>
      <c r="V41" s="101"/>
      <c r="W41" s="102">
        <f>SUM(W7:W39)</f>
        <v>0</v>
      </c>
      <c r="X41" s="101"/>
      <c r="Y41" s="100">
        <f>SUM(Y7:Y39)</f>
        <v>0</v>
      </c>
      <c r="Z41" s="21"/>
      <c r="AA41" s="24">
        <f>SUM(AA7:AA39)</f>
        <v>0</v>
      </c>
      <c r="AB41" s="24">
        <f>SUM(AB7:AB39)</f>
        <v>0</v>
      </c>
      <c r="AC41" s="7">
        <f>U41</f>
        <v>0</v>
      </c>
    </row>
    <row r="42" spans="17:25" ht="4.5" customHeight="1" thickBot="1" thickTop="1">
      <c r="Q42" s="97"/>
      <c r="V42" s="103"/>
      <c r="W42" s="103"/>
      <c r="X42" s="103"/>
      <c r="Y42" s="103"/>
    </row>
    <row r="43" spans="3:25" ht="13.5" thickBot="1">
      <c r="C43">
        <f>IF(C41&gt;0,LOOKUP(1,C7:C39,D7:D39),-10000)</f>
        <v>-10000</v>
      </c>
      <c r="O43" t="s">
        <v>67</v>
      </c>
      <c r="Q43" s="105">
        <f>J41</f>
        <v>0</v>
      </c>
      <c r="V43" s="103"/>
      <c r="W43" s="103"/>
      <c r="X43" s="103"/>
      <c r="Y43" s="103"/>
    </row>
    <row r="44" ht="4.5" customHeight="1" thickBot="1">
      <c r="Q44" s="97"/>
    </row>
    <row r="45" spans="15:17" ht="13.5" thickBot="1">
      <c r="O45" t="s">
        <v>68</v>
      </c>
      <c r="Q45" s="106">
        <f>Q41-Q43</f>
        <v>0</v>
      </c>
    </row>
    <row r="46" ht="4.5" customHeight="1"/>
  </sheetData>
  <sheetProtection/>
  <mergeCells count="1">
    <mergeCell ref="M2:O2"/>
  </mergeCells>
  <printOptions/>
  <pageMargins left="0.75" right="0.75" top="1" bottom="1" header="0.5" footer="0.5"/>
  <pageSetup fitToHeight="1" fitToWidth="1" horizontalDpi="600" verticalDpi="600" orientation="landscape" paperSize="9" scale="73"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Bird</dc:creator>
  <cp:keywords/>
  <dc:description/>
  <cp:lastModifiedBy>Steve Bird</cp:lastModifiedBy>
  <cp:lastPrinted>2017-03-13T03:31:34Z</cp:lastPrinted>
  <dcterms:created xsi:type="dcterms:W3CDTF">2002-12-02T16:58:50Z</dcterms:created>
  <dcterms:modified xsi:type="dcterms:W3CDTF">2019-07-02T09:19:52Z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